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ackup\jo.leal3038\Documents\Pregrado IQUI\11_Cursos\2019-10\Transicion\Diagnostico poblacion IQUI\Reforma v3\"/>
    </mc:Choice>
  </mc:AlternateContent>
  <bookViews>
    <workbookView xWindow="0" yWindow="0" windowWidth="15360" windowHeight="820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C43" i="1"/>
  <c r="C44" i="1"/>
  <c r="V25" i="1" l="1"/>
  <c r="W32" i="1"/>
  <c r="V39" i="1"/>
  <c r="W37" i="1"/>
  <c r="W36" i="1"/>
  <c r="W35" i="1"/>
  <c r="W34" i="1"/>
  <c r="W33" i="1"/>
  <c r="W31" i="1"/>
  <c r="W30" i="1"/>
  <c r="W26" i="1"/>
  <c r="W25" i="1"/>
  <c r="W24" i="1"/>
  <c r="W23" i="1"/>
  <c r="W22" i="1"/>
  <c r="W21" i="1"/>
  <c r="W19" i="1"/>
  <c r="W20" i="1"/>
  <c r="W18" i="1"/>
  <c r="W17" i="1"/>
  <c r="W16" i="1"/>
  <c r="W15" i="1"/>
  <c r="V16" i="1"/>
  <c r="V17" i="1"/>
  <c r="V18" i="1"/>
  <c r="V19" i="1"/>
  <c r="V20" i="1"/>
  <c r="V21" i="1"/>
  <c r="V23" i="1"/>
  <c r="V24" i="1"/>
  <c r="V30" i="1"/>
  <c r="V31" i="1"/>
  <c r="V32" i="1"/>
  <c r="V33" i="1"/>
  <c r="V35" i="1"/>
  <c r="V36" i="1"/>
  <c r="V37" i="1"/>
  <c r="V15" i="1"/>
  <c r="G31" i="1"/>
  <c r="M31" i="1"/>
  <c r="G37" i="1"/>
  <c r="G36" i="1"/>
  <c r="G35" i="1"/>
  <c r="G33" i="1"/>
  <c r="G30" i="1"/>
  <c r="G24" i="1"/>
  <c r="G23" i="1"/>
  <c r="G21" i="1"/>
  <c r="G20" i="1"/>
  <c r="G19" i="1"/>
  <c r="M34" i="1" l="1"/>
  <c r="M33" i="1"/>
  <c r="M26" i="1"/>
  <c r="M25" i="1"/>
  <c r="M24" i="1"/>
  <c r="M17" i="1"/>
  <c r="M29" i="1"/>
  <c r="M28" i="1"/>
  <c r="M15" i="1"/>
  <c r="M18" i="1"/>
  <c r="M16" i="1"/>
  <c r="G17" i="1"/>
  <c r="G15" i="1"/>
  <c r="M37" i="1" l="1"/>
  <c r="M36" i="1"/>
  <c r="M35" i="1"/>
  <c r="M30" i="1"/>
  <c r="M23" i="1"/>
  <c r="G38" i="1"/>
  <c r="M20" i="1"/>
  <c r="N15" i="1"/>
  <c r="O15" i="1" s="1"/>
  <c r="M22" i="1"/>
  <c r="M21" i="1"/>
  <c r="M19" i="1"/>
  <c r="N16" i="1" l="1"/>
  <c r="N17" i="1" l="1"/>
  <c r="O16" i="1"/>
  <c r="N18" i="1" l="1"/>
  <c r="O17" i="1"/>
  <c r="O18" i="1" l="1"/>
  <c r="N19" i="1"/>
  <c r="O19" i="1" l="1"/>
  <c r="N20" i="1"/>
  <c r="V41" i="1"/>
  <c r="V42" i="1" l="1"/>
  <c r="W38" i="1"/>
  <c r="M40" i="1"/>
  <c r="W39" i="1"/>
  <c r="M39" i="1"/>
  <c r="M38" i="1"/>
  <c r="N21" i="1"/>
  <c r="O20" i="1"/>
  <c r="W41" i="1" l="1"/>
  <c r="W42" i="1" s="1"/>
  <c r="D50" i="1" s="1"/>
  <c r="O21" i="1"/>
  <c r="N22" i="1"/>
  <c r="V43" i="1" l="1"/>
  <c r="W43" i="1" s="1"/>
  <c r="O22" i="1"/>
  <c r="N23" i="1"/>
  <c r="N24" i="1" l="1"/>
  <c r="O23" i="1"/>
  <c r="O24" i="1" l="1"/>
  <c r="N25" i="1"/>
  <c r="O25" i="1" l="1"/>
  <c r="N26" i="1"/>
  <c r="N27" i="1" l="1"/>
  <c r="O26" i="1"/>
  <c r="O27" i="1" l="1"/>
  <c r="N28" i="1"/>
  <c r="N29" i="1" l="1"/>
  <c r="O28" i="1"/>
  <c r="N30" i="1" l="1"/>
  <c r="O29" i="1"/>
  <c r="N31" i="1" l="1"/>
  <c r="O30" i="1"/>
  <c r="N32" i="1" l="1"/>
  <c r="N33" i="1" s="1"/>
  <c r="O31" i="1"/>
  <c r="O32" i="1" l="1"/>
  <c r="O33" i="1"/>
  <c r="N34" i="1"/>
  <c r="N35" i="1" l="1"/>
  <c r="O34" i="1"/>
  <c r="N36" i="1" l="1"/>
  <c r="O35" i="1"/>
  <c r="O36" i="1" l="1"/>
  <c r="N37" i="1"/>
  <c r="O37" i="1" l="1"/>
  <c r="N38" i="1"/>
  <c r="O38" i="1" l="1"/>
  <c r="N39" i="1"/>
  <c r="O39" i="1" l="1"/>
  <c r="E52" i="1" s="1"/>
  <c r="D52" i="1" s="1"/>
  <c r="N40" i="1"/>
  <c r="O40" i="1" s="1"/>
  <c r="E51" i="1" l="1"/>
  <c r="B52" i="1"/>
  <c r="E67" i="1"/>
  <c r="B67" i="1" s="1"/>
  <c r="E63" i="1"/>
  <c r="D63" i="1" s="1"/>
  <c r="E56" i="1"/>
  <c r="D56" i="1" s="1"/>
  <c r="E57" i="1"/>
  <c r="B57" i="1" s="1"/>
  <c r="E68" i="1"/>
  <c r="B68" i="1" s="1"/>
  <c r="E64" i="1"/>
  <c r="E53" i="1"/>
  <c r="E54" i="1"/>
  <c r="E55" i="1"/>
  <c r="E59" i="1"/>
  <c r="E62" i="1"/>
  <c r="E60" i="1"/>
  <c r="E61" i="1"/>
  <c r="E65" i="1"/>
  <c r="E69" i="1"/>
  <c r="E58" i="1"/>
  <c r="E66" i="1"/>
  <c r="B51" i="1" l="1"/>
  <c r="D51" i="1"/>
  <c r="D67" i="1"/>
  <c r="D57" i="1"/>
  <c r="B63" i="1"/>
  <c r="B56" i="1"/>
  <c r="D68" i="1"/>
  <c r="B69" i="1"/>
  <c r="D69" i="1"/>
  <c r="D53" i="1"/>
  <c r="B53" i="1"/>
  <c r="D65" i="1"/>
  <c r="B65" i="1"/>
  <c r="B66" i="1"/>
  <c r="D66" i="1"/>
  <c r="B61" i="1"/>
  <c r="D61" i="1"/>
  <c r="B60" i="1"/>
  <c r="D60" i="1"/>
  <c r="D64" i="1"/>
  <c r="B64" i="1"/>
  <c r="D62" i="1"/>
  <c r="B62" i="1"/>
  <c r="B59" i="1"/>
  <c r="D59" i="1"/>
  <c r="D55" i="1"/>
  <c r="B55" i="1"/>
  <c r="B58" i="1"/>
  <c r="D58" i="1"/>
  <c r="D54" i="1"/>
  <c r="B54" i="1"/>
  <c r="D70" i="1" l="1"/>
</calcChain>
</file>

<file path=xl/sharedStrings.xml><?xml version="1.0" encoding="utf-8"?>
<sst xmlns="http://schemas.openxmlformats.org/spreadsheetml/2006/main" count="125" uniqueCount="103">
  <si>
    <t>Área de formación</t>
  </si>
  <si>
    <t>Curso pensum antiguo</t>
  </si>
  <si>
    <t>Curso equivalente reforma</t>
  </si>
  <si>
    <t>Física I</t>
  </si>
  <si>
    <t>Física Experimental II</t>
  </si>
  <si>
    <t>Física II</t>
  </si>
  <si>
    <t>Algorítmica y Programación</t>
  </si>
  <si>
    <t>Introducción a la Programación</t>
  </si>
  <si>
    <t>Introducción a la Ingeniería Química</t>
  </si>
  <si>
    <t>Introducción al Diseño Integrado de Procesos y Productos</t>
  </si>
  <si>
    <t>Fundamentos de Procesos Industriales</t>
  </si>
  <si>
    <t>Balances de Energía</t>
  </si>
  <si>
    <t>Balances de Materia</t>
  </si>
  <si>
    <t>Diseño de Experimentos en Ing. Química</t>
  </si>
  <si>
    <t>Taller de Herramientas de Diseño Experimental</t>
  </si>
  <si>
    <t>Fenómenos de Transporte 1</t>
  </si>
  <si>
    <t>Fenómenos de Transporte Macroscópicos</t>
  </si>
  <si>
    <t>Fenómenos de Transporte Microscópicos</t>
  </si>
  <si>
    <t>Fenómenos de Transporte 2</t>
  </si>
  <si>
    <t>Fenómenos de Transporte Moleculares</t>
  </si>
  <si>
    <t>Proyecto de Mitad de Carrera</t>
  </si>
  <si>
    <t>Proyecto Integrado 3</t>
  </si>
  <si>
    <t>Operaciones Unitarias</t>
  </si>
  <si>
    <t>Proyecto Integrado 2</t>
  </si>
  <si>
    <t>Procesos de Separación</t>
  </si>
  <si>
    <t>Introducción al Modelamiento y Simulación en Ing. Quím.</t>
  </si>
  <si>
    <t>Modelamiento de Sistemas Químicos</t>
  </si>
  <si>
    <t>Taller de Herramientas Computacionales 1</t>
  </si>
  <si>
    <t>Análisis de sistemas de control</t>
  </si>
  <si>
    <t>Diseño de Plantas de Proceso</t>
  </si>
  <si>
    <t>Proyecto Integrado 4</t>
  </si>
  <si>
    <t>Optimización de Procesos Químicos</t>
  </si>
  <si>
    <t>Taller de Métodos de Optimización en Ing. Química</t>
  </si>
  <si>
    <t>Proyecto de Grado</t>
  </si>
  <si>
    <t>Seminario de Proyecto</t>
  </si>
  <si>
    <t>Aprobado</t>
  </si>
  <si>
    <t>Ciencias y Matemáticas</t>
  </si>
  <si>
    <t>Fundamentos Generales de Ingeniería</t>
  </si>
  <si>
    <t>Fundamentos de Ingeniería Química</t>
  </si>
  <si>
    <t>Profundización en Ingeniería Química</t>
  </si>
  <si>
    <t>Créditos</t>
  </si>
  <si>
    <t>Respuesta boton 1</t>
  </si>
  <si>
    <t>Respuesta boton 2</t>
  </si>
  <si>
    <t>4, calcular creditos electivas como 59- validados reforma (corregir de acuerdo a creditos aprobados)</t>
  </si>
  <si>
    <t>(se calcula cuantos créditos le falta de cursos de reforma, cuántos aprobó del antiguo y lo que le falte se completa en electivas para llagar a 59)</t>
  </si>
  <si>
    <t>En curso</t>
  </si>
  <si>
    <t>Mensajes</t>
  </si>
  <si>
    <t>Debe tomar el(los) nuevo(s) curso(s)</t>
  </si>
  <si>
    <t xml:space="preserve">Puede tomar los cursos antiguos o nuevos, según la reglamentación del dpto. de física. </t>
  </si>
  <si>
    <t>Conteo créditos aprobado antiguo</t>
  </si>
  <si>
    <t>Conteo créditos nuevo</t>
  </si>
  <si>
    <t>incluir valores lógicos en conteo de créditos</t>
  </si>
  <si>
    <t>Error: seleccione correctamente el avance de los cursos</t>
  </si>
  <si>
    <t>Error: por favor seleccione solo uno de los botones de avance</t>
  </si>
  <si>
    <t>Debe tomar el curso de Fenómenos 2 durante la transición</t>
  </si>
  <si>
    <t>Debe tomar el nuevo curso de Proyecto Integrado 2</t>
  </si>
  <si>
    <t>incluir número total de créditos</t>
  </si>
  <si>
    <t>incluir requisitos según semestre inicio</t>
  </si>
  <si>
    <t>Créditos reforma</t>
  </si>
  <si>
    <t>Cursos Tipo E</t>
  </si>
  <si>
    <t>Cursos Tipo I</t>
  </si>
  <si>
    <t>Cursos Tipo Epsilon</t>
  </si>
  <si>
    <t>Indique su semestre de Inicio:</t>
  </si>
  <si>
    <t>Taller de Herramientas Computacionales 2</t>
  </si>
  <si>
    <t>Separar visual (solo incluir cursos viejos para verificación)</t>
  </si>
  <si>
    <t xml:space="preserve">Listar los cursos que debe tomar el estudiante. </t>
  </si>
  <si>
    <t>conteo pendientes</t>
  </si>
  <si>
    <t>suma pendientes</t>
  </si>
  <si>
    <t>Cursos que debe aprobar</t>
  </si>
  <si>
    <t>No. Créditos</t>
  </si>
  <si>
    <t>nombres lista</t>
  </si>
  <si>
    <t>creds lista</t>
  </si>
  <si>
    <t>Número mínimo de créditos en electivas IQUI:</t>
  </si>
  <si>
    <t>Física I (nuevo)</t>
  </si>
  <si>
    <t>Física II (nuevo)</t>
  </si>
  <si>
    <t>Debe aprobar el curso de física experimental</t>
  </si>
  <si>
    <t>Física I (antiguo)</t>
  </si>
  <si>
    <t>Física II (antiguo)</t>
  </si>
  <si>
    <t>Física Exp. I (antiguo)</t>
  </si>
  <si>
    <t>Física Exp. II (antiguo)</t>
  </si>
  <si>
    <t>Total de créditos obligatorios de la reforma:</t>
  </si>
  <si>
    <t>En caso de aprobar el curso, completará el requisito</t>
  </si>
  <si>
    <t>Cumple con el requisito</t>
  </si>
  <si>
    <t>En caso de aprobar el curso inscrito (Operaciones o Separación), completará el requisito</t>
  </si>
  <si>
    <t>En caso de aprobar el curso teórico, completará el requisito</t>
  </si>
  <si>
    <t>En caso de aprobar el curso experimental, completará el requisito</t>
  </si>
  <si>
    <t>En caso de aprobar el curso de Fenómenos 2, completará el requisito</t>
  </si>
  <si>
    <t>Señale a continuación los cursos de la reglamentación actual que ha aprobado o se encuentra cursando. 
La herramienta le señalará en la sección inferior los cursos de la nueva reforma que debe tomar.
Adicionalmente, podrá verificar cuales de los requisitos complementarios de la universidad debe cumplir para su graduación</t>
  </si>
  <si>
    <t>Física Experimental I</t>
  </si>
  <si>
    <t xml:space="preserve">Indique aquí su periodo de inicio en la universidad (e.g. 201410) para conocer cuales son los requisitos complementarios que debe cumplir. </t>
  </si>
  <si>
    <t>Debe tomar el nuevo curso de Introducción a la Programación</t>
  </si>
  <si>
    <t>Debe tomar el nuevo curso de Introducción al Diseño Integrado de Procesos y Productos</t>
  </si>
  <si>
    <t>Debe tomar los nuevos cursos de Balance de Materia y Balance de Energía</t>
  </si>
  <si>
    <t>Debe tomar el nuevo curso Taller de Herramientas de Diseño Experimental</t>
  </si>
  <si>
    <t>Debe tomar los nuevos cursos de Fenómenos de Transporte Macroscópicos, F.T. Microscópicos y F.T. Moleculares</t>
  </si>
  <si>
    <t>Debe tomar el nuevo curso Proyecto Integrado 3</t>
  </si>
  <si>
    <t>Debe tomar los nuevos cursos de Modelamiento de Sistemas Químicos y Taller de Herramientas Computacionales 1</t>
  </si>
  <si>
    <t>Debe tomar el nuevo curso Taller de Herramientas Computacionales 2</t>
  </si>
  <si>
    <t>Debe tomar el nuevo curso Proyecto Integrado 4</t>
  </si>
  <si>
    <t>Debe tomar el nuevo curso Taller de Métodos de Optimización en Ing. Química</t>
  </si>
  <si>
    <t>Proyecto de Desarrollo Profesional</t>
  </si>
  <si>
    <t>Puede tomar el curso antiguo si tiene por lo menos 110 créditos del programa aprobados, de otra forma deberá tomar el Proyecto de Desarrollo Profesional y el Seminario de Proyecto. Debe completar por lo menos de 134 créditos en total.</t>
  </si>
  <si>
    <t>En caso de aprobar ambos cursos inscritos, completará el área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</si>
</sst>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i/>
      <sz val="11"/>
      <color theme="0"/>
      <name val="Calibri"/>
      <family val="2"/>
      <scheme val="minor"/>
    </font>
    <font>
      <sz val="11"/>
      <color theme="0"/>
      <name val="Calibri"/>
      <family val="2"/>
      <scheme val="minor"/>
    </font>
    <font>
      <b/>
      <i/>
      <sz val="14"/>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5"/>
        <bgColor indexed="64"/>
      </patternFill>
    </fill>
    <fill>
      <patternFill patternType="solid">
        <fgColor theme="9"/>
        <bgColor indexed="64"/>
      </patternFill>
    </fill>
    <fill>
      <patternFill patternType="solid">
        <fgColor theme="9" tint="0.39997558519241921"/>
        <bgColor indexed="64"/>
      </patternFill>
    </fill>
    <fill>
      <patternFill patternType="solid">
        <fgColor theme="2"/>
        <bgColor indexed="64"/>
      </patternFill>
    </fill>
    <fill>
      <patternFill patternType="solid">
        <fgColor theme="8" tint="0.59999389629810485"/>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auto="1"/>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0" fillId="2" borderId="0" xfId="0" applyFill="1" applyProtection="1">
      <protection locked="0"/>
    </xf>
    <xf numFmtId="0" fontId="0" fillId="2" borderId="0" xfId="0" applyFill="1" applyBorder="1" applyProtection="1">
      <protection locked="0"/>
    </xf>
    <xf numFmtId="0" fontId="0" fillId="0" borderId="0" xfId="0" applyProtection="1">
      <protection locked="0"/>
    </xf>
    <xf numFmtId="0" fontId="2" fillId="2" borderId="0" xfId="0" applyFont="1" applyFill="1" applyBorder="1" applyProtection="1">
      <protection locked="0"/>
    </xf>
    <xf numFmtId="0" fontId="1" fillId="3" borderId="44" xfId="0" applyFont="1" applyFill="1" applyBorder="1" applyAlignment="1" applyProtection="1">
      <alignment horizontal="center" vertical="center" textRotation="90"/>
      <protection locked="0"/>
    </xf>
    <xf numFmtId="0" fontId="1" fillId="3" borderId="42" xfId="0" applyFont="1" applyFill="1" applyBorder="1" applyAlignment="1" applyProtection="1">
      <alignment horizontal="center" vertical="center" textRotation="90"/>
      <protection locked="0"/>
    </xf>
    <xf numFmtId="0" fontId="1"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wrapText="1"/>
      <protection locked="0"/>
    </xf>
    <xf numFmtId="0" fontId="0" fillId="2" borderId="13" xfId="0" applyFill="1" applyBorder="1" applyAlignment="1" applyProtection="1">
      <alignment vertical="center" wrapText="1"/>
      <protection locked="0"/>
    </xf>
    <xf numFmtId="0" fontId="0" fillId="2" borderId="53"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56" xfId="0"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0" fillId="2" borderId="36" xfId="0" applyFill="1" applyBorder="1" applyAlignment="1" applyProtection="1">
      <alignment horizontal="center"/>
      <protection locked="0"/>
    </xf>
    <xf numFmtId="0" fontId="2" fillId="2" borderId="0" xfId="0" applyFont="1" applyFill="1" applyProtection="1">
      <protection locked="0"/>
    </xf>
    <xf numFmtId="0" fontId="4" fillId="2" borderId="0" xfId="0" applyFont="1" applyFill="1" applyProtection="1">
      <protection locked="0"/>
    </xf>
    <xf numFmtId="0" fontId="4" fillId="2" borderId="0" xfId="0" applyFont="1" applyFill="1" applyBorder="1" applyProtection="1">
      <protection locked="0"/>
    </xf>
    <xf numFmtId="0" fontId="4" fillId="0" borderId="0" xfId="0" applyFont="1" applyProtection="1">
      <protection locked="0"/>
    </xf>
    <xf numFmtId="0" fontId="0" fillId="2" borderId="0" xfId="0" applyFill="1" applyAlignment="1" applyProtection="1">
      <alignment horizontal="center" vertical="center"/>
      <protection locked="0"/>
    </xf>
    <xf numFmtId="0" fontId="1" fillId="3" borderId="20"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0" fillId="2" borderId="10" xfId="0" applyFill="1" applyBorder="1" applyAlignment="1" applyProtection="1">
      <alignment horizontal="left" vertical="center" wrapText="1"/>
    </xf>
    <xf numFmtId="0" fontId="0" fillId="2" borderId="12" xfId="0" applyFill="1" applyBorder="1" applyAlignment="1" applyProtection="1">
      <alignment horizontal="center" vertical="center" wrapText="1"/>
    </xf>
    <xf numFmtId="0" fontId="0" fillId="2" borderId="5" xfId="0" applyFill="1" applyBorder="1" applyAlignment="1" applyProtection="1">
      <alignment horizontal="left" vertical="center" wrapText="1"/>
    </xf>
    <xf numFmtId="0" fontId="0" fillId="2" borderId="7" xfId="0" applyFill="1" applyBorder="1" applyAlignment="1" applyProtection="1">
      <alignment horizontal="center" vertical="center" wrapText="1"/>
    </xf>
    <xf numFmtId="0" fontId="0" fillId="2" borderId="13" xfId="0" applyFill="1" applyBorder="1" applyAlignment="1" applyProtection="1">
      <alignment horizontal="left"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vertical="center" wrapText="1"/>
    </xf>
    <xf numFmtId="0" fontId="0" fillId="2" borderId="21" xfId="0" applyFill="1" applyBorder="1" applyAlignment="1" applyProtection="1">
      <alignment horizontal="left" vertical="center" wrapText="1"/>
    </xf>
    <xf numFmtId="0" fontId="0" fillId="2" borderId="25" xfId="0" applyFill="1" applyBorder="1" applyAlignment="1" applyProtection="1">
      <alignment horizontal="center" vertical="center" wrapText="1"/>
    </xf>
    <xf numFmtId="0" fontId="0" fillId="2" borderId="2" xfId="0" applyFill="1" applyBorder="1" applyAlignment="1" applyProtection="1">
      <alignment horizontal="left" vertical="center" wrapText="1"/>
    </xf>
    <xf numFmtId="0" fontId="0" fillId="2" borderId="4"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2" xfId="0" applyFill="1" applyBorder="1" applyProtection="1"/>
    <xf numFmtId="0" fontId="0" fillId="2" borderId="5" xfId="0" applyFill="1" applyBorder="1" applyProtection="1"/>
    <xf numFmtId="0" fontId="0" fillId="2" borderId="37" xfId="0" applyFill="1" applyBorder="1" applyProtection="1"/>
    <xf numFmtId="0" fontId="0" fillId="2" borderId="8" xfId="0" applyFill="1" applyBorder="1" applyProtection="1"/>
    <xf numFmtId="0" fontId="0" fillId="2" borderId="38" xfId="0" applyFill="1" applyBorder="1" applyProtection="1"/>
    <xf numFmtId="0" fontId="0" fillId="2" borderId="23" xfId="0" applyFill="1" applyBorder="1" applyProtection="1"/>
    <xf numFmtId="0" fontId="0" fillId="2" borderId="0" xfId="0" applyFill="1" applyProtection="1"/>
    <xf numFmtId="0" fontId="0" fillId="6" borderId="43" xfId="0" applyFill="1" applyBorder="1" applyAlignment="1" applyProtection="1">
      <alignment horizontal="center" vertical="center" wrapText="1"/>
    </xf>
    <xf numFmtId="0" fontId="2" fillId="2" borderId="0" xfId="0" applyFont="1" applyFill="1" applyProtection="1"/>
    <xf numFmtId="0" fontId="0" fillId="2" borderId="37" xfId="0" applyFill="1" applyBorder="1" applyAlignment="1" applyProtection="1">
      <alignment horizontal="center" vertical="center"/>
    </xf>
    <xf numFmtId="0" fontId="0" fillId="2" borderId="38" xfId="0" applyFill="1" applyBorder="1" applyAlignment="1" applyProtection="1">
      <alignment horizontal="center" vertical="center"/>
    </xf>
    <xf numFmtId="0" fontId="0" fillId="2" borderId="0" xfId="0" applyFill="1" applyBorder="1" applyProtection="1"/>
    <xf numFmtId="0" fontId="1"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 fillId="3" borderId="24"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2" fillId="2" borderId="0" xfId="0" applyFont="1" applyFill="1" applyBorder="1" applyAlignment="1" applyProtection="1">
      <alignment horizontal="center" vertical="center" wrapText="1"/>
      <protection locked="0"/>
    </xf>
    <xf numFmtId="0" fontId="0" fillId="2" borderId="6"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25"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0" fillId="2" borderId="24" xfId="0" applyFill="1" applyBorder="1" applyAlignment="1" applyProtection="1">
      <alignment horizontal="left" vertical="center"/>
      <protection locked="0"/>
    </xf>
    <xf numFmtId="0" fontId="0" fillId="2" borderId="25" xfId="0" applyFill="1" applyBorder="1" applyAlignment="1" applyProtection="1">
      <alignment horizontal="center" vertical="center"/>
      <protection locked="0"/>
    </xf>
    <xf numFmtId="0" fontId="0" fillId="2" borderId="11" xfId="0" applyFill="1" applyBorder="1" applyAlignment="1" applyProtection="1">
      <alignment horizontal="left" vertical="center" wrapText="1"/>
      <protection locked="0"/>
    </xf>
    <xf numFmtId="0" fontId="0" fillId="2" borderId="12" xfId="0" applyFill="1" applyBorder="1" applyAlignment="1" applyProtection="1">
      <alignment horizontal="center" vertical="center" wrapText="1"/>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center" vertical="center"/>
      <protection locked="0"/>
    </xf>
    <xf numFmtId="0" fontId="0" fillId="2" borderId="33"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center" vertical="center"/>
      <protection locked="0"/>
    </xf>
    <xf numFmtId="0" fontId="0" fillId="2" borderId="17"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center" vertical="center"/>
      <protection locked="0"/>
    </xf>
    <xf numFmtId="0" fontId="0" fillId="2" borderId="35" xfId="0" applyFill="1" applyBorder="1" applyAlignment="1" applyProtection="1">
      <alignment horizontal="center" vertical="center" wrapText="1"/>
      <protection locked="0"/>
    </xf>
    <xf numFmtId="0" fontId="0" fillId="4" borderId="0" xfId="0" applyFill="1" applyProtection="1">
      <protection locked="0"/>
    </xf>
    <xf numFmtId="0" fontId="0" fillId="2" borderId="14" xfId="0" applyFill="1" applyBorder="1" applyAlignment="1" applyProtection="1">
      <alignment horizontal="left" vertical="center" wrapText="1"/>
      <protection locked="0"/>
    </xf>
    <xf numFmtId="0" fontId="0" fillId="2" borderId="15"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center" vertical="center"/>
      <protection locked="0"/>
    </xf>
    <xf numFmtId="0" fontId="0" fillId="2" borderId="34" xfId="0" applyFill="1" applyBorder="1" applyAlignment="1" applyProtection="1">
      <alignment horizontal="center" vertical="center" wrapText="1"/>
      <protection locked="0"/>
    </xf>
    <xf numFmtId="0" fontId="0" fillId="2" borderId="28" xfId="0" applyFill="1" applyBorder="1" applyAlignment="1" applyProtection="1">
      <alignment horizontal="left" vertical="center" wrapText="1"/>
      <protection locked="0"/>
    </xf>
    <xf numFmtId="0" fontId="0" fillId="0" borderId="0" xfId="0" applyBorder="1" applyProtection="1">
      <protection locked="0"/>
    </xf>
    <xf numFmtId="0" fontId="4" fillId="2" borderId="0" xfId="0" applyFont="1"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2" borderId="0"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3" fillId="2" borderId="49"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45" xfId="0" applyFont="1" applyFill="1" applyBorder="1" applyAlignment="1" applyProtection="1">
      <alignment horizontal="right" vertical="center" wrapText="1"/>
    </xf>
    <xf numFmtId="0" fontId="3" fillId="2" borderId="40"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50" xfId="0" applyFont="1" applyFill="1" applyBorder="1" applyAlignment="1" applyProtection="1">
      <alignment horizontal="right" vertical="center" wrapText="1"/>
    </xf>
    <xf numFmtId="0" fontId="3" fillId="2" borderId="51" xfId="0" applyFont="1" applyFill="1" applyBorder="1" applyAlignment="1" applyProtection="1">
      <alignment horizontal="right" vertical="center" wrapText="1"/>
    </xf>
    <xf numFmtId="0" fontId="3" fillId="2" borderId="41" xfId="0" applyFont="1" applyFill="1" applyBorder="1" applyAlignment="1" applyProtection="1">
      <alignment horizontal="right" vertical="center" wrapText="1"/>
    </xf>
    <xf numFmtId="0" fontId="3" fillId="2" borderId="46" xfId="0" applyFont="1" applyFill="1" applyBorder="1" applyAlignment="1" applyProtection="1">
      <alignment horizontal="right" vertical="center" wrapText="1"/>
    </xf>
    <xf numFmtId="0" fontId="0" fillId="2" borderId="5" xfId="0" applyFill="1" applyBorder="1" applyAlignment="1" applyProtection="1">
      <alignment horizontal="center"/>
    </xf>
    <xf numFmtId="0" fontId="0" fillId="2" borderId="26" xfId="0" applyFill="1" applyBorder="1" applyAlignment="1" applyProtection="1">
      <alignment horizontal="center"/>
    </xf>
    <xf numFmtId="0" fontId="0" fillId="2" borderId="21" xfId="0" applyFill="1" applyBorder="1" applyAlignment="1" applyProtection="1">
      <alignment horizontal="center"/>
    </xf>
    <xf numFmtId="0" fontId="0" fillId="2" borderId="47" xfId="0" applyFill="1" applyBorder="1" applyAlignment="1" applyProtection="1">
      <alignment horizontal="center"/>
    </xf>
    <xf numFmtId="0" fontId="0" fillId="6" borderId="10" xfId="0" applyFill="1" applyBorder="1" applyAlignment="1" applyProtection="1">
      <alignment horizontal="center" vertical="center"/>
    </xf>
    <xf numFmtId="0" fontId="0" fillId="6" borderId="27" xfId="0" applyFill="1" applyBorder="1" applyAlignment="1" applyProtection="1">
      <alignment horizontal="center" vertical="center"/>
    </xf>
    <xf numFmtId="0" fontId="0" fillId="2" borderId="18"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5" xfId="0" applyFill="1" applyBorder="1" applyAlignment="1" applyProtection="1">
      <alignment horizontal="left" vertical="center" wrapText="1"/>
    </xf>
    <xf numFmtId="0" fontId="0" fillId="2" borderId="17"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xf>
    <xf numFmtId="0" fontId="0" fillId="2" borderId="6" xfId="0" applyFill="1" applyBorder="1" applyAlignment="1" applyProtection="1">
      <alignment horizontal="left" vertical="center" wrapText="1"/>
      <protection locked="0"/>
    </xf>
    <xf numFmtId="0" fontId="0" fillId="2" borderId="54"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xf>
    <xf numFmtId="0" fontId="0" fillId="2" borderId="39" xfId="0" applyFill="1" applyBorder="1" applyAlignment="1" applyProtection="1">
      <alignment horizontal="center" vertical="center" wrapText="1"/>
    </xf>
    <xf numFmtId="0" fontId="0" fillId="2" borderId="15"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14" xfId="0" applyFill="1" applyBorder="1" applyAlignment="1" applyProtection="1">
      <alignment horizontal="left" vertical="center" wrapText="1"/>
      <protection locked="0"/>
    </xf>
    <xf numFmtId="0" fontId="0" fillId="2" borderId="34" xfId="0" applyFill="1" applyBorder="1" applyAlignment="1" applyProtection="1">
      <alignment horizontal="center" vertical="center" wrapText="1"/>
      <protection locked="0"/>
    </xf>
    <xf numFmtId="0" fontId="0" fillId="2" borderId="11" xfId="0" applyFill="1" applyBorder="1" applyAlignment="1" applyProtection="1">
      <alignment horizontal="left" vertical="center" wrapText="1"/>
      <protection locked="0"/>
    </xf>
    <xf numFmtId="0" fontId="0" fillId="2" borderId="9"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8" borderId="45" xfId="0" applyFill="1" applyBorder="1" applyAlignment="1" applyProtection="1">
      <alignment horizontal="center" vertical="center" wrapText="1"/>
    </xf>
    <xf numFmtId="0" fontId="0" fillId="8" borderId="40" xfId="0"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8" borderId="50" xfId="0" applyFill="1" applyBorder="1" applyAlignment="1" applyProtection="1">
      <alignment horizontal="center" vertical="center" wrapText="1"/>
    </xf>
    <xf numFmtId="0" fontId="0" fillId="8" borderId="51" xfId="0" applyFill="1" applyBorder="1" applyAlignment="1" applyProtection="1">
      <alignment horizontal="center" vertical="center" wrapText="1"/>
    </xf>
    <xf numFmtId="0" fontId="0" fillId="8" borderId="41" xfId="0" applyFill="1" applyBorder="1" applyAlignment="1" applyProtection="1">
      <alignment horizontal="center" vertical="center" wrapText="1"/>
    </xf>
    <xf numFmtId="0" fontId="0" fillId="8" borderId="46" xfId="0" applyFill="1" applyBorder="1" applyAlignment="1" applyProtection="1">
      <alignment horizontal="center" vertical="center" wrapText="1"/>
    </xf>
    <xf numFmtId="0" fontId="0" fillId="2" borderId="8" xfId="0" applyFill="1" applyBorder="1" applyAlignment="1" applyProtection="1">
      <alignment horizontal="left" vertical="center" wrapText="1"/>
    </xf>
    <xf numFmtId="0" fontId="0" fillId="2" borderId="0" xfId="0" applyFill="1" applyAlignment="1" applyProtection="1">
      <alignment horizontal="center"/>
      <protection locked="0"/>
    </xf>
    <xf numFmtId="0" fontId="0" fillId="2" borderId="8" xfId="0" applyFill="1" applyBorder="1" applyAlignment="1" applyProtection="1">
      <alignment horizontal="center"/>
    </xf>
    <xf numFmtId="0" fontId="0" fillId="2" borderId="52" xfId="0" applyFill="1" applyBorder="1" applyAlignment="1" applyProtection="1">
      <alignment horizontal="center"/>
    </xf>
  </cellXfs>
  <cellStyles count="1">
    <cellStyle name="Normal" xfId="0" builtinId="0"/>
  </cellStyles>
  <dxfs count="59">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8"/>
      </font>
      <fill>
        <patternFill>
          <bgColor theme="4" tint="0.59996337778862885"/>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8"/>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4" tint="0.79998168889431442"/>
        </patternFill>
      </fill>
    </dxf>
    <dxf>
      <font>
        <color theme="8"/>
      </font>
      <fill>
        <patternFill>
          <bgColor theme="4" tint="0.59996337778862885"/>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8"/>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15" lockText="1"/>
</file>

<file path=xl/ctrlProps/ctrlProp10.xml><?xml version="1.0" encoding="utf-8"?>
<formControlPr xmlns="http://schemas.microsoft.com/office/spreadsheetml/2009/9/main" objectType="CheckBox" fmlaLink="$U$19" lockText="1"/>
</file>

<file path=xl/ctrlProps/ctrlProp11.xml><?xml version="1.0" encoding="utf-8"?>
<formControlPr xmlns="http://schemas.microsoft.com/office/spreadsheetml/2009/9/main" objectType="CheckBox" fmlaLink="$T$20" lockText="1"/>
</file>

<file path=xl/ctrlProps/ctrlProp12.xml><?xml version="1.0" encoding="utf-8"?>
<formControlPr xmlns="http://schemas.microsoft.com/office/spreadsheetml/2009/9/main" objectType="CheckBox" fmlaLink="$U$20" lockText="1"/>
</file>

<file path=xl/ctrlProps/ctrlProp13.xml><?xml version="1.0" encoding="utf-8"?>
<formControlPr xmlns="http://schemas.microsoft.com/office/spreadsheetml/2009/9/main" objectType="CheckBox" fmlaLink="$T$21" lockText="1"/>
</file>

<file path=xl/ctrlProps/ctrlProp14.xml><?xml version="1.0" encoding="utf-8"?>
<formControlPr xmlns="http://schemas.microsoft.com/office/spreadsheetml/2009/9/main" objectType="CheckBox" fmlaLink="$U$21" lockText="1"/>
</file>

<file path=xl/ctrlProps/ctrlProp15.xml><?xml version="1.0" encoding="utf-8"?>
<formControlPr xmlns="http://schemas.microsoft.com/office/spreadsheetml/2009/9/main" objectType="CheckBox" fmlaLink="$T$23" lockText="1"/>
</file>

<file path=xl/ctrlProps/ctrlProp16.xml><?xml version="1.0" encoding="utf-8"?>
<formControlPr xmlns="http://schemas.microsoft.com/office/spreadsheetml/2009/9/main" objectType="CheckBox" fmlaLink="$U$23" lockText="1"/>
</file>

<file path=xl/ctrlProps/ctrlProp17.xml><?xml version="1.0" encoding="utf-8"?>
<formControlPr xmlns="http://schemas.microsoft.com/office/spreadsheetml/2009/9/main" objectType="CheckBox" fmlaLink="$T$24" lockText="1"/>
</file>

<file path=xl/ctrlProps/ctrlProp18.xml><?xml version="1.0" encoding="utf-8"?>
<formControlPr xmlns="http://schemas.microsoft.com/office/spreadsheetml/2009/9/main" objectType="CheckBox" fmlaLink="$U$24" lockText="1"/>
</file>

<file path=xl/ctrlProps/ctrlProp19.xml><?xml version="1.0" encoding="utf-8"?>
<formControlPr xmlns="http://schemas.microsoft.com/office/spreadsheetml/2009/9/main" objectType="CheckBox" fmlaLink="$T$25" lockText="1"/>
</file>

<file path=xl/ctrlProps/ctrlProp2.xml><?xml version="1.0" encoding="utf-8"?>
<formControlPr xmlns="http://schemas.microsoft.com/office/spreadsheetml/2009/9/main" objectType="CheckBox" fmlaLink="$U$15" lockText="1"/>
</file>

<file path=xl/ctrlProps/ctrlProp20.xml><?xml version="1.0" encoding="utf-8"?>
<formControlPr xmlns="http://schemas.microsoft.com/office/spreadsheetml/2009/9/main" objectType="CheckBox" fmlaLink="$U$25" lockText="1"/>
</file>

<file path=xl/ctrlProps/ctrlProp21.xml><?xml version="1.0" encoding="utf-8"?>
<formControlPr xmlns="http://schemas.microsoft.com/office/spreadsheetml/2009/9/main" objectType="CheckBox" fmlaLink="$T$30" lockText="1"/>
</file>

<file path=xl/ctrlProps/ctrlProp22.xml><?xml version="1.0" encoding="utf-8"?>
<formControlPr xmlns="http://schemas.microsoft.com/office/spreadsheetml/2009/9/main" objectType="CheckBox" fmlaLink="$U$30" lockText="1"/>
</file>

<file path=xl/ctrlProps/ctrlProp23.xml><?xml version="1.0" encoding="utf-8"?>
<formControlPr xmlns="http://schemas.microsoft.com/office/spreadsheetml/2009/9/main" objectType="CheckBox" fmlaLink="$T$31" lockText="1"/>
</file>

<file path=xl/ctrlProps/ctrlProp24.xml><?xml version="1.0" encoding="utf-8"?>
<formControlPr xmlns="http://schemas.microsoft.com/office/spreadsheetml/2009/9/main" objectType="CheckBox" fmlaLink="$U$31" lockText="1"/>
</file>

<file path=xl/ctrlProps/ctrlProp25.xml><?xml version="1.0" encoding="utf-8"?>
<formControlPr xmlns="http://schemas.microsoft.com/office/spreadsheetml/2009/9/main" objectType="CheckBox" fmlaLink="$T$32" lockText="1"/>
</file>

<file path=xl/ctrlProps/ctrlProp26.xml><?xml version="1.0" encoding="utf-8"?>
<formControlPr xmlns="http://schemas.microsoft.com/office/spreadsheetml/2009/9/main" objectType="CheckBox" fmlaLink="$U$32" lockText="1"/>
</file>

<file path=xl/ctrlProps/ctrlProp27.xml><?xml version="1.0" encoding="utf-8"?>
<formControlPr xmlns="http://schemas.microsoft.com/office/spreadsheetml/2009/9/main" objectType="CheckBox" fmlaLink="$T$33" lockText="1"/>
</file>

<file path=xl/ctrlProps/ctrlProp28.xml><?xml version="1.0" encoding="utf-8"?>
<formControlPr xmlns="http://schemas.microsoft.com/office/spreadsheetml/2009/9/main" objectType="CheckBox" fmlaLink="$U$33" lockText="1"/>
</file>

<file path=xl/ctrlProps/ctrlProp29.xml><?xml version="1.0" encoding="utf-8"?>
<formControlPr xmlns="http://schemas.microsoft.com/office/spreadsheetml/2009/9/main" objectType="CheckBox" fmlaLink="$T$35" lockText="1"/>
</file>

<file path=xl/ctrlProps/ctrlProp3.xml><?xml version="1.0" encoding="utf-8"?>
<formControlPr xmlns="http://schemas.microsoft.com/office/spreadsheetml/2009/9/main" objectType="CheckBox" fmlaLink="$T$16" lockText="1"/>
</file>

<file path=xl/ctrlProps/ctrlProp30.xml><?xml version="1.0" encoding="utf-8"?>
<formControlPr xmlns="http://schemas.microsoft.com/office/spreadsheetml/2009/9/main" objectType="CheckBox" fmlaLink="$U$35" lockText="1"/>
</file>

<file path=xl/ctrlProps/ctrlProp31.xml><?xml version="1.0" encoding="utf-8"?>
<formControlPr xmlns="http://schemas.microsoft.com/office/spreadsheetml/2009/9/main" objectType="CheckBox" fmlaLink="$T$36" lockText="1"/>
</file>

<file path=xl/ctrlProps/ctrlProp32.xml><?xml version="1.0" encoding="utf-8"?>
<formControlPr xmlns="http://schemas.microsoft.com/office/spreadsheetml/2009/9/main" objectType="CheckBox" fmlaLink="$U$36" lockText="1"/>
</file>

<file path=xl/ctrlProps/ctrlProp33.xml><?xml version="1.0" encoding="utf-8"?>
<formControlPr xmlns="http://schemas.microsoft.com/office/spreadsheetml/2009/9/main" objectType="CheckBox" fmlaLink="$T$37" lockText="1"/>
</file>

<file path=xl/ctrlProps/ctrlProp34.xml><?xml version="1.0" encoding="utf-8"?>
<formControlPr xmlns="http://schemas.microsoft.com/office/spreadsheetml/2009/9/main" objectType="CheckBox" fmlaLink="$U$37" lockText="1"/>
</file>

<file path=xl/ctrlProps/ctrlProp35.xml><?xml version="1.0" encoding="utf-8"?>
<formControlPr xmlns="http://schemas.microsoft.com/office/spreadsheetml/2009/9/main" objectType="CheckBox" fmlaLink="$T$39" lockText="1"/>
</file>

<file path=xl/ctrlProps/ctrlProp36.xml><?xml version="1.0" encoding="utf-8"?>
<formControlPr xmlns="http://schemas.microsoft.com/office/spreadsheetml/2009/9/main" objectType="CheckBox" fmlaLink="$U$39" lockText="1"/>
</file>

<file path=xl/ctrlProps/ctrlProp4.xml><?xml version="1.0" encoding="utf-8"?>
<formControlPr xmlns="http://schemas.microsoft.com/office/spreadsheetml/2009/9/main" objectType="CheckBox" fmlaLink="$U$16" lockText="1"/>
</file>

<file path=xl/ctrlProps/ctrlProp5.xml><?xml version="1.0" encoding="utf-8"?>
<formControlPr xmlns="http://schemas.microsoft.com/office/spreadsheetml/2009/9/main" objectType="CheckBox" fmlaLink="$T$17" lockText="1"/>
</file>

<file path=xl/ctrlProps/ctrlProp6.xml><?xml version="1.0" encoding="utf-8"?>
<formControlPr xmlns="http://schemas.microsoft.com/office/spreadsheetml/2009/9/main" objectType="CheckBox" fmlaLink="$U$17" lockText="1"/>
</file>

<file path=xl/ctrlProps/ctrlProp7.xml><?xml version="1.0" encoding="utf-8"?>
<formControlPr xmlns="http://schemas.microsoft.com/office/spreadsheetml/2009/9/main" objectType="CheckBox" fmlaLink="$T$18" lockText="1"/>
</file>

<file path=xl/ctrlProps/ctrlProp8.xml><?xml version="1.0" encoding="utf-8"?>
<formControlPr xmlns="http://schemas.microsoft.com/office/spreadsheetml/2009/9/main" objectType="CheckBox" fmlaLink="$U$18" lockText="1"/>
</file>

<file path=xl/ctrlProps/ctrlProp9.xml><?xml version="1.0" encoding="utf-8"?>
<formControlPr xmlns="http://schemas.microsoft.com/office/spreadsheetml/2009/9/main" objectType="CheckBox" fmlaLink="$T$19"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13</xdr:row>
          <xdr:rowOff>885825</xdr:rowOff>
        </xdr:from>
        <xdr:to>
          <xdr:col>4</xdr:col>
          <xdr:colOff>247650</xdr:colOff>
          <xdr:row>15</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885825</xdr:rowOff>
        </xdr:from>
        <xdr:to>
          <xdr:col>5</xdr:col>
          <xdr:colOff>247650</xdr:colOff>
          <xdr:row>15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180975</xdr:rowOff>
        </xdr:from>
        <xdr:to>
          <xdr:col>4</xdr:col>
          <xdr:colOff>247650</xdr:colOff>
          <xdr:row>16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180975</xdr:rowOff>
        </xdr:from>
        <xdr:to>
          <xdr:col>5</xdr:col>
          <xdr:colOff>247650</xdr:colOff>
          <xdr:row>16</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180975</xdr:rowOff>
        </xdr:from>
        <xdr:to>
          <xdr:col>4</xdr:col>
          <xdr:colOff>247650</xdr:colOff>
          <xdr:row>17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180975</xdr:rowOff>
        </xdr:from>
        <xdr:to>
          <xdr:col>5</xdr:col>
          <xdr:colOff>247650</xdr:colOff>
          <xdr:row>17</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161925</xdr:rowOff>
        </xdr:from>
        <xdr:to>
          <xdr:col>4</xdr:col>
          <xdr:colOff>247650</xdr:colOff>
          <xdr:row>17</xdr:row>
          <xdr:rowOff>190500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161925</xdr:rowOff>
        </xdr:from>
        <xdr:to>
          <xdr:col>5</xdr:col>
          <xdr:colOff>247650</xdr:colOff>
          <xdr:row>17</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104775</xdr:rowOff>
        </xdr:from>
        <xdr:to>
          <xdr:col>4</xdr:col>
          <xdr:colOff>247650</xdr:colOff>
          <xdr:row>18</xdr:row>
          <xdr:rowOff>314325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104775</xdr:rowOff>
        </xdr:from>
        <xdr:to>
          <xdr:col>5</xdr:col>
          <xdr:colOff>247650</xdr:colOff>
          <xdr:row>18</xdr:row>
          <xdr:rowOff>314325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180975</xdr:rowOff>
        </xdr:from>
        <xdr:to>
          <xdr:col>4</xdr:col>
          <xdr:colOff>247650</xdr:colOff>
          <xdr:row>19</xdr:row>
          <xdr:rowOff>381000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180975</xdr:rowOff>
        </xdr:from>
        <xdr:to>
          <xdr:col>5</xdr:col>
          <xdr:colOff>247650</xdr:colOff>
          <xdr:row>19</xdr:row>
          <xdr:rowOff>381000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85725</xdr:rowOff>
        </xdr:from>
        <xdr:to>
          <xdr:col>4</xdr:col>
          <xdr:colOff>238125</xdr:colOff>
          <xdr:row>21</xdr:row>
          <xdr:rowOff>85725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85725</xdr:rowOff>
        </xdr:from>
        <xdr:to>
          <xdr:col>5</xdr:col>
          <xdr:colOff>238125</xdr:colOff>
          <xdr:row>21</xdr:row>
          <xdr:rowOff>85725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95250</xdr:rowOff>
        </xdr:from>
        <xdr:to>
          <xdr:col>4</xdr:col>
          <xdr:colOff>247650</xdr:colOff>
          <xdr:row>22</xdr:row>
          <xdr:rowOff>295275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95250</xdr:rowOff>
        </xdr:from>
        <xdr:to>
          <xdr:col>5</xdr:col>
          <xdr:colOff>247650</xdr:colOff>
          <xdr:row>22</xdr:row>
          <xdr:rowOff>295275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171450</xdr:rowOff>
        </xdr:from>
        <xdr:to>
          <xdr:col>4</xdr:col>
          <xdr:colOff>238125</xdr:colOff>
          <xdr:row>24</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171450</xdr:rowOff>
        </xdr:from>
        <xdr:to>
          <xdr:col>5</xdr:col>
          <xdr:colOff>238125</xdr:colOff>
          <xdr:row>24</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0</xdr:rowOff>
        </xdr:from>
        <xdr:to>
          <xdr:col>4</xdr:col>
          <xdr:colOff>247650</xdr:colOff>
          <xdr:row>28</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5</xdr:col>
          <xdr:colOff>247650</xdr:colOff>
          <xdr:row>28</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190500</xdr:rowOff>
        </xdr:from>
        <xdr:to>
          <xdr:col>4</xdr:col>
          <xdr:colOff>247650</xdr:colOff>
          <xdr:row>29</xdr:row>
          <xdr:rowOff>190500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190500</xdr:rowOff>
        </xdr:from>
        <xdr:to>
          <xdr:col>5</xdr:col>
          <xdr:colOff>247650</xdr:colOff>
          <xdr:row>29</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190500</xdr:rowOff>
        </xdr:from>
        <xdr:to>
          <xdr:col>4</xdr:col>
          <xdr:colOff>247650</xdr:colOff>
          <xdr:row>31</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190500</xdr:rowOff>
        </xdr:from>
        <xdr:to>
          <xdr:col>5</xdr:col>
          <xdr:colOff>247650</xdr:colOff>
          <xdr:row>31</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190500</xdr:rowOff>
        </xdr:from>
        <xdr:to>
          <xdr:col>4</xdr:col>
          <xdr:colOff>247650</xdr:colOff>
          <xdr:row>32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190500</xdr:rowOff>
        </xdr:from>
        <xdr:to>
          <xdr:col>5</xdr:col>
          <xdr:colOff>247650</xdr:colOff>
          <xdr:row>32</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295275</xdr:rowOff>
        </xdr:from>
        <xdr:to>
          <xdr:col>4</xdr:col>
          <xdr:colOff>247650</xdr:colOff>
          <xdr:row>33</xdr:row>
          <xdr:rowOff>114300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295275</xdr:rowOff>
        </xdr:from>
        <xdr:to>
          <xdr:col>5</xdr:col>
          <xdr:colOff>247650</xdr:colOff>
          <xdr:row>33</xdr:row>
          <xdr:rowOff>114300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114300</xdr:rowOff>
        </xdr:from>
        <xdr:to>
          <xdr:col>4</xdr:col>
          <xdr:colOff>228600</xdr:colOff>
          <xdr:row>34</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114300</xdr:rowOff>
        </xdr:from>
        <xdr:to>
          <xdr:col>5</xdr:col>
          <xdr:colOff>228600</xdr:colOff>
          <xdr:row>34</xdr:row>
          <xdr:rowOff>314325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47625</xdr:rowOff>
        </xdr:from>
        <xdr:to>
          <xdr:col>4</xdr:col>
          <xdr:colOff>228600</xdr:colOff>
          <xdr:row>35</xdr:row>
          <xdr:rowOff>152400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47625</xdr:rowOff>
        </xdr:from>
        <xdr:to>
          <xdr:col>5</xdr:col>
          <xdr:colOff>228600</xdr:colOff>
          <xdr:row>35</xdr:row>
          <xdr:rowOff>152400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85725</xdr:rowOff>
        </xdr:from>
        <xdr:to>
          <xdr:col>4</xdr:col>
          <xdr:colOff>209550</xdr:colOff>
          <xdr:row>36</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85725</xdr:rowOff>
        </xdr:from>
        <xdr:to>
          <xdr:col>5</xdr:col>
          <xdr:colOff>209550</xdr:colOff>
          <xdr:row>36</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266700</xdr:rowOff>
        </xdr:from>
        <xdr:to>
          <xdr:col>4</xdr:col>
          <xdr:colOff>209550</xdr:colOff>
          <xdr:row>38</xdr:row>
          <xdr:rowOff>85725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266700</xdr:rowOff>
        </xdr:from>
        <xdr:to>
          <xdr:col>5</xdr:col>
          <xdr:colOff>209550</xdr:colOff>
          <xdr:row>38</xdr:row>
          <xdr:rowOff>85725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104775</xdr:colOff>
      <xdr:row>41</xdr:row>
      <xdr:rowOff>95250</xdr:rowOff>
    </xdr:from>
    <xdr:to>
      <xdr:col>3</xdr:col>
      <xdr:colOff>714375</xdr:colOff>
      <xdr:row>41</xdr:row>
      <xdr:rowOff>95250</xdr:rowOff>
    </xdr:to>
    <xdr:cxnSp macro="">
      <xdr:nvCxnSpPr>
        <xdr:cNvPr id="3" name="Conector recto de flecha 2"/>
        <xdr:cNvCxnSpPr/>
      </xdr:nvCxnSpPr>
      <xdr:spPr>
        <a:xfrm flipH="1">
          <a:off x="4600575" y="10134600"/>
          <a:ext cx="609600"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0</xdr:col>
      <xdr:colOff>847726</xdr:colOff>
      <xdr:row>2</xdr:row>
      <xdr:rowOff>171450</xdr:rowOff>
    </xdr:from>
    <xdr:to>
      <xdr:col>1</xdr:col>
      <xdr:colOff>1447800</xdr:colOff>
      <xdr:row>8</xdr:row>
      <xdr:rowOff>168134</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225"/>
        <a:stretch/>
      </xdr:blipFill>
      <xdr:spPr>
        <a:xfrm rot="20852922">
          <a:off x="847726" y="561975"/>
          <a:ext cx="1895474" cy="1139684"/>
        </a:xfrm>
        <a:prstGeom prst="rect">
          <a:avLst/>
        </a:prstGeom>
      </xdr:spPr>
    </xdr:pic>
    <xdr:clientData/>
  </xdr:twoCellAnchor>
  <xdr:twoCellAnchor editAs="oneCell">
    <xdr:from>
      <xdr:col>0</xdr:col>
      <xdr:colOff>0</xdr:colOff>
      <xdr:row>13</xdr:row>
      <xdr:rowOff>36051</xdr:rowOff>
    </xdr:from>
    <xdr:to>
      <xdr:col>1</xdr:col>
      <xdr:colOff>376901</xdr:colOff>
      <xdr:row>30</xdr:row>
      <xdr:rowOff>83676</xdr:rowOff>
    </xdr:to>
    <xdr:pic>
      <xdr:nvPicPr>
        <xdr:cNvPr id="40" name="Imagen 3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869"/>
        <a:stretch/>
      </xdr:blipFill>
      <xdr:spPr>
        <a:xfrm rot="16200000">
          <a:off x="-1487949" y="4029075"/>
          <a:ext cx="4648200" cy="1672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E74"/>
  <sheetViews>
    <sheetView tabSelected="1" zoomScale="90" zoomScaleNormal="90" workbookViewId="0">
      <selection activeCell="B3" sqref="B3:G11"/>
    </sheetView>
  </sheetViews>
  <sheetFormatPr baseColWidth="10" defaultColWidth="0" defaultRowHeight="15" zeroHeight="1" x14ac:dyDescent="0.25"/>
  <cols>
    <col min="1" max="1" width="19.42578125" style="1" customWidth="1"/>
    <col min="2" max="2" width="28.7109375" style="1" customWidth="1"/>
    <col min="3" max="3" width="29" style="1" bestFit="1" customWidth="1"/>
    <col min="4" max="4" width="12" style="1" bestFit="1" customWidth="1"/>
    <col min="5" max="5" width="5" style="1" customWidth="1"/>
    <col min="6" max="6" width="4.140625" style="1" bestFit="1" customWidth="1"/>
    <col min="7" max="7" width="58.85546875" style="1" customWidth="1"/>
    <col min="8" max="8" width="26.7109375" style="2" customWidth="1"/>
    <col min="9" max="9" width="26.7109375" style="57" hidden="1" customWidth="1"/>
    <col min="10" max="10" width="29" style="1" hidden="1" customWidth="1"/>
    <col min="11" max="11" width="16.5703125" style="1" hidden="1" customWidth="1"/>
    <col min="12" max="12" width="11.42578125" style="3" hidden="1" customWidth="1"/>
    <col min="13" max="13" width="36.28515625" style="1" hidden="1" customWidth="1"/>
    <col min="14" max="17" width="9.7109375" style="1" hidden="1" customWidth="1"/>
    <col min="18" max="18" width="41.140625" style="4" hidden="1" customWidth="1"/>
    <col min="19" max="19" width="10" style="1" hidden="1" customWidth="1"/>
    <col min="20" max="21" width="13.140625" style="1" hidden="1" customWidth="1"/>
    <col min="22" max="31" width="11.42578125" style="1" hidden="1" customWidth="1"/>
    <col min="32" max="16384" width="11.42578125" style="52" hidden="1"/>
  </cols>
  <sheetData>
    <row r="1" spans="2:25" x14ac:dyDescent="0.25"/>
    <row r="2" spans="2:25" ht="15.75" thickBot="1" x14ac:dyDescent="0.3"/>
    <row r="3" spans="2:25" x14ac:dyDescent="0.25">
      <c r="B3" s="106" t="s">
        <v>87</v>
      </c>
      <c r="C3" s="107"/>
      <c r="D3" s="107"/>
      <c r="E3" s="107"/>
      <c r="F3" s="107"/>
      <c r="G3" s="108"/>
    </row>
    <row r="4" spans="2:25" x14ac:dyDescent="0.25">
      <c r="B4" s="109"/>
      <c r="C4" s="110"/>
      <c r="D4" s="110"/>
      <c r="E4" s="110"/>
      <c r="F4" s="110"/>
      <c r="G4" s="111"/>
    </row>
    <row r="5" spans="2:25" x14ac:dyDescent="0.25">
      <c r="B5" s="109"/>
      <c r="C5" s="110"/>
      <c r="D5" s="110"/>
      <c r="E5" s="110"/>
      <c r="F5" s="110"/>
      <c r="G5" s="111"/>
    </row>
    <row r="6" spans="2:25" x14ac:dyDescent="0.25">
      <c r="B6" s="109"/>
      <c r="C6" s="110"/>
      <c r="D6" s="110"/>
      <c r="E6" s="110"/>
      <c r="F6" s="110"/>
      <c r="G6" s="111"/>
    </row>
    <row r="7" spans="2:25" x14ac:dyDescent="0.25">
      <c r="B7" s="109"/>
      <c r="C7" s="110"/>
      <c r="D7" s="110"/>
      <c r="E7" s="110"/>
      <c r="F7" s="110"/>
      <c r="G7" s="111"/>
    </row>
    <row r="8" spans="2:25" x14ac:dyDescent="0.25">
      <c r="B8" s="109"/>
      <c r="C8" s="110"/>
      <c r="D8" s="110"/>
      <c r="E8" s="110"/>
      <c r="F8" s="110"/>
      <c r="G8" s="111"/>
    </row>
    <row r="9" spans="2:25" x14ac:dyDescent="0.25">
      <c r="B9" s="109"/>
      <c r="C9" s="110"/>
      <c r="D9" s="110"/>
      <c r="E9" s="110"/>
      <c r="F9" s="110"/>
      <c r="G9" s="111"/>
    </row>
    <row r="10" spans="2:25" x14ac:dyDescent="0.25">
      <c r="B10" s="109"/>
      <c r="C10" s="110"/>
      <c r="D10" s="110"/>
      <c r="E10" s="110"/>
      <c r="F10" s="110"/>
      <c r="G10" s="111"/>
    </row>
    <row r="11" spans="2:25" ht="15.75" thickBot="1" x14ac:dyDescent="0.3">
      <c r="B11" s="112"/>
      <c r="C11" s="113"/>
      <c r="D11" s="113"/>
      <c r="E11" s="113"/>
      <c r="F11" s="113"/>
      <c r="G11" s="114"/>
    </row>
    <row r="12" spans="2:25" x14ac:dyDescent="0.25"/>
    <row r="13" spans="2:25" ht="15.75" thickBot="1" x14ac:dyDescent="0.3"/>
    <row r="14" spans="2:25" ht="55.5" thickBot="1" x14ac:dyDescent="0.3">
      <c r="B14" s="30" t="s">
        <v>0</v>
      </c>
      <c r="C14" s="31" t="s">
        <v>1</v>
      </c>
      <c r="D14" s="32" t="s">
        <v>40</v>
      </c>
      <c r="E14" s="5" t="s">
        <v>35</v>
      </c>
      <c r="F14" s="6" t="s">
        <v>45</v>
      </c>
      <c r="G14" s="30" t="s">
        <v>35</v>
      </c>
      <c r="H14" s="7"/>
      <c r="I14" s="58"/>
      <c r="J14" s="61" t="s">
        <v>2</v>
      </c>
      <c r="K14" s="62" t="s">
        <v>58</v>
      </c>
      <c r="M14" s="63"/>
      <c r="N14" s="63" t="s">
        <v>67</v>
      </c>
      <c r="O14" s="63" t="s">
        <v>66</v>
      </c>
      <c r="P14" s="63" t="s">
        <v>70</v>
      </c>
      <c r="Q14" s="63" t="s">
        <v>71</v>
      </c>
      <c r="R14" s="7"/>
      <c r="S14" s="64" t="s">
        <v>58</v>
      </c>
      <c r="T14" s="63" t="s">
        <v>41</v>
      </c>
      <c r="U14" s="63" t="s">
        <v>42</v>
      </c>
      <c r="V14" s="1" t="s">
        <v>49</v>
      </c>
      <c r="W14" s="1" t="s">
        <v>50</v>
      </c>
      <c r="Y14" s="1" t="s">
        <v>46</v>
      </c>
    </row>
    <row r="15" spans="2:25" x14ac:dyDescent="0.25">
      <c r="B15" s="121" t="s">
        <v>36</v>
      </c>
      <c r="C15" s="33" t="s">
        <v>3</v>
      </c>
      <c r="D15" s="34">
        <v>3</v>
      </c>
      <c r="E15" s="17"/>
      <c r="F15" s="18"/>
      <c r="G15" s="121" t="str">
        <f>IF(OR(AND($T$15,$U$15),AND($T$16,$U$16)),$Y$20,IF(AND($T$15,$T$16),$Y$15,IF(AND($T$15,$U$16),$Y$22,IF(AND($T$16,$U$15),$Y$21,IF(AND($T$15,NOT($T$16),NOT($U$16)),$Y$29,$Y$23)))))</f>
        <v xml:space="preserve">Puede tomar los cursos antiguos o nuevos, según la reglamentación del dpto. de física. </v>
      </c>
      <c r="H15" s="8"/>
      <c r="I15" s="59"/>
      <c r="J15" s="148" t="s">
        <v>3</v>
      </c>
      <c r="K15" s="144">
        <v>3</v>
      </c>
      <c r="M15" s="8">
        <f>IF(AND(OR(T15,U15),AND(NOT(T16),NOT(U16))),1,0)</f>
        <v>0</v>
      </c>
      <c r="N15" s="8">
        <f>+M15</f>
        <v>0</v>
      </c>
      <c r="O15" s="8">
        <f>+N15*M15</f>
        <v>0</v>
      </c>
      <c r="P15" s="65" t="s">
        <v>78</v>
      </c>
      <c r="Q15" s="66">
        <v>1</v>
      </c>
      <c r="R15" s="67"/>
      <c r="S15" s="145">
        <v>3</v>
      </c>
      <c r="T15" s="68" t="b">
        <v>0</v>
      </c>
      <c r="U15" s="69" t="b">
        <v>0</v>
      </c>
      <c r="V15" s="1">
        <f>IF(OR(T15,U15),D15,0)</f>
        <v>0</v>
      </c>
      <c r="W15" s="1">
        <f>IF(AND(NOT(T15),NOT(U15)),S15,0)</f>
        <v>3</v>
      </c>
      <c r="Y15" s="1" t="s">
        <v>82</v>
      </c>
    </row>
    <row r="16" spans="2:25" ht="15.75" thickBot="1" x14ac:dyDescent="0.3">
      <c r="B16" s="121"/>
      <c r="C16" s="35" t="s">
        <v>88</v>
      </c>
      <c r="D16" s="36">
        <v>1</v>
      </c>
      <c r="E16" s="9"/>
      <c r="F16" s="10"/>
      <c r="G16" s="142"/>
      <c r="H16" s="8"/>
      <c r="I16" s="59"/>
      <c r="J16" s="135"/>
      <c r="K16" s="139"/>
      <c r="M16" s="8">
        <f>IF(AND(OR(T16,U16),AND(NOT(T15),NOT(U15))),1,0)</f>
        <v>0</v>
      </c>
      <c r="N16" s="8">
        <f>+M16+N15</f>
        <v>0</v>
      </c>
      <c r="O16" s="8">
        <f t="shared" ref="O16:O22" si="0">+N16*M16</f>
        <v>0</v>
      </c>
      <c r="P16" s="65" t="s">
        <v>76</v>
      </c>
      <c r="Q16" s="66">
        <v>3</v>
      </c>
      <c r="R16" s="67"/>
      <c r="S16" s="129"/>
      <c r="T16" s="68" t="b">
        <v>0</v>
      </c>
      <c r="U16" s="69" t="b">
        <v>0</v>
      </c>
      <c r="V16" s="1">
        <f t="shared" ref="V16:V37" si="1">IF(OR(T16,U16),D16,0)</f>
        <v>0</v>
      </c>
      <c r="W16" s="1">
        <f>IF(AND(NOT(T16),NOT(U16)),S16,0)</f>
        <v>0</v>
      </c>
      <c r="Y16" s="1" t="s">
        <v>81</v>
      </c>
    </row>
    <row r="17" spans="2:25" x14ac:dyDescent="0.25">
      <c r="B17" s="121"/>
      <c r="C17" s="35" t="s">
        <v>5</v>
      </c>
      <c r="D17" s="36">
        <v>3</v>
      </c>
      <c r="E17" s="9"/>
      <c r="F17" s="10"/>
      <c r="G17" s="123" t="str">
        <f>IF(OR(AND(T17,U17),AND(T18,U18)),$Y$20,IF(AND(T17,T18),$Y$15,IF(AND(T17,U18),$Y$22,IF(AND(T18,U17),$Y$21,IF(AND(T17,NOT(T18),NOT(U18)),$Y$29,$Y$23)))))</f>
        <v xml:space="preserve">Puede tomar los cursos antiguos o nuevos, según la reglamentación del dpto. de física. </v>
      </c>
      <c r="H17" s="8"/>
      <c r="I17" s="59"/>
      <c r="J17" s="135" t="s">
        <v>5</v>
      </c>
      <c r="K17" s="139">
        <v>3</v>
      </c>
      <c r="M17" s="8">
        <f>IF(AND(OR(T17,U17),AND(NOT(T18),NOT(U18))),1,0)</f>
        <v>0</v>
      </c>
      <c r="N17" s="8">
        <f t="shared" ref="N17:N22" si="2">+M17+N16</f>
        <v>0</v>
      </c>
      <c r="O17" s="8">
        <f t="shared" si="0"/>
        <v>0</v>
      </c>
      <c r="P17" s="65" t="s">
        <v>79</v>
      </c>
      <c r="Q17" s="66">
        <v>1</v>
      </c>
      <c r="R17" s="67"/>
      <c r="S17" s="129">
        <v>3</v>
      </c>
      <c r="T17" s="68" t="b">
        <v>0</v>
      </c>
      <c r="U17" s="69" t="b">
        <v>0</v>
      </c>
      <c r="V17" s="1">
        <f t="shared" si="1"/>
        <v>0</v>
      </c>
      <c r="W17" s="1">
        <f>IF(AND(NOT(T17),NOT(U17)),S17,0)</f>
        <v>3</v>
      </c>
      <c r="Y17" s="1" t="s">
        <v>47</v>
      </c>
    </row>
    <row r="18" spans="2:25" ht="15.75" thickBot="1" x14ac:dyDescent="0.3">
      <c r="B18" s="121"/>
      <c r="C18" s="37" t="s">
        <v>4</v>
      </c>
      <c r="D18" s="38">
        <v>1</v>
      </c>
      <c r="E18" s="15"/>
      <c r="F18" s="16"/>
      <c r="G18" s="121"/>
      <c r="H18" s="8"/>
      <c r="I18" s="59"/>
      <c r="J18" s="146"/>
      <c r="K18" s="143"/>
      <c r="M18" s="8">
        <f>IF(AND(OR(T18,U18),AND(NOT(T17),NOT(U17))),1,0)</f>
        <v>0</v>
      </c>
      <c r="N18" s="8">
        <f t="shared" si="2"/>
        <v>0</v>
      </c>
      <c r="O18" s="8">
        <f t="shared" si="0"/>
        <v>0</v>
      </c>
      <c r="P18" s="65" t="s">
        <v>77</v>
      </c>
      <c r="Q18" s="66">
        <v>3</v>
      </c>
      <c r="R18" s="67"/>
      <c r="S18" s="147"/>
      <c r="T18" s="68" t="b">
        <v>0</v>
      </c>
      <c r="U18" s="69" t="b">
        <v>0</v>
      </c>
      <c r="V18" s="1">
        <f t="shared" si="1"/>
        <v>0</v>
      </c>
      <c r="W18" s="1">
        <f>IF(AND(NOT(T18),NOT(U18)),S18,0)</f>
        <v>0</v>
      </c>
      <c r="Y18" s="1" t="s">
        <v>102</v>
      </c>
    </row>
    <row r="19" spans="2:25" ht="30.75" thickBot="1" x14ac:dyDescent="0.3">
      <c r="B19" s="39" t="s">
        <v>37</v>
      </c>
      <c r="C19" s="40" t="s">
        <v>6</v>
      </c>
      <c r="D19" s="41">
        <v>3</v>
      </c>
      <c r="E19" s="11"/>
      <c r="F19" s="12"/>
      <c r="G19" s="44" t="str">
        <f>IF(AND($T$19,$U$19),$Y$20,IF($T$19,$Y$15,IF($U$19,$Y$16,$Y$30)))</f>
        <v>Debe tomar el nuevo curso de Introducción a la Programación</v>
      </c>
      <c r="H19" s="8"/>
      <c r="I19" s="59"/>
      <c r="J19" s="70" t="s">
        <v>7</v>
      </c>
      <c r="K19" s="71">
        <v>3</v>
      </c>
      <c r="M19" s="72">
        <f>IF(AND($T$19,$U$19),0,IF($T$19,0,IF($U$19,0,1)))</f>
        <v>1</v>
      </c>
      <c r="N19" s="8">
        <f t="shared" si="2"/>
        <v>1</v>
      </c>
      <c r="O19" s="8">
        <f t="shared" si="0"/>
        <v>1</v>
      </c>
      <c r="P19" s="73" t="s">
        <v>7</v>
      </c>
      <c r="Q19" s="74">
        <v>3</v>
      </c>
      <c r="R19" s="67"/>
      <c r="S19" s="72">
        <v>3</v>
      </c>
      <c r="T19" s="68" t="b">
        <v>0</v>
      </c>
      <c r="U19" s="69" t="b">
        <v>0</v>
      </c>
      <c r="V19" s="1">
        <f t="shared" si="1"/>
        <v>0</v>
      </c>
      <c r="W19" s="1">
        <f t="shared" ref="W19:W20" si="3">IF(AND(NOT(T19),NOT(U19)),S19,0)</f>
        <v>3</v>
      </c>
      <c r="Y19" s="1" t="s">
        <v>83</v>
      </c>
    </row>
    <row r="20" spans="2:25" ht="45.75" thickBot="1" x14ac:dyDescent="0.3">
      <c r="B20" s="123" t="s">
        <v>38</v>
      </c>
      <c r="C20" s="42" t="s">
        <v>8</v>
      </c>
      <c r="D20" s="43">
        <v>3</v>
      </c>
      <c r="E20" s="13"/>
      <c r="F20" s="14"/>
      <c r="G20" s="44" t="str">
        <f>IF(AND($T$20,$U$20),$Y$20,IF($T$20,$Y$15,IF($U$20,$Y$16,$Y$31)))</f>
        <v>Debe tomar el nuevo curso de Introducción al Diseño Integrado de Procesos y Productos</v>
      </c>
      <c r="H20" s="8"/>
      <c r="I20" s="59"/>
      <c r="J20" s="75" t="s">
        <v>9</v>
      </c>
      <c r="K20" s="76">
        <v>3</v>
      </c>
      <c r="M20" s="72">
        <f>IF(AND($T$20,$U$20),0,IF($T$20,0,IF($U$20,0,1)))</f>
        <v>1</v>
      </c>
      <c r="N20" s="8">
        <f t="shared" si="2"/>
        <v>2</v>
      </c>
      <c r="O20" s="8">
        <f t="shared" si="0"/>
        <v>2</v>
      </c>
      <c r="P20" s="77" t="s">
        <v>9</v>
      </c>
      <c r="Q20" s="78">
        <v>3</v>
      </c>
      <c r="R20" s="67"/>
      <c r="S20" s="79">
        <v>3</v>
      </c>
      <c r="T20" s="68" t="b">
        <v>0</v>
      </c>
      <c r="U20" s="69" t="b">
        <v>0</v>
      </c>
      <c r="V20" s="1">
        <f t="shared" si="1"/>
        <v>0</v>
      </c>
      <c r="W20" s="1">
        <f t="shared" si="3"/>
        <v>3</v>
      </c>
      <c r="Y20" s="1" t="s">
        <v>53</v>
      </c>
    </row>
    <row r="21" spans="2:25" ht="15.75" thickBot="1" x14ac:dyDescent="0.3">
      <c r="B21" s="121"/>
      <c r="C21" s="128" t="s">
        <v>10</v>
      </c>
      <c r="D21" s="134">
        <v>3</v>
      </c>
      <c r="E21" s="130"/>
      <c r="F21" s="132"/>
      <c r="G21" s="123" t="str">
        <f>IF(AND($T$21,$U$21),$Y$20,IF($T$21,$Y$15,IF($U$21,$Y$16,$Y$32)))</f>
        <v>Debe tomar los nuevos cursos de Balance de Materia y Balance de Energía</v>
      </c>
      <c r="H21" s="8"/>
      <c r="I21" s="59"/>
      <c r="J21" s="68" t="s">
        <v>11</v>
      </c>
      <c r="K21" s="80">
        <v>2</v>
      </c>
      <c r="M21" s="81">
        <f>IF(AND($T$21,$U$21),0,IF($T$21,0,IF($U$21,0,1)))</f>
        <v>1</v>
      </c>
      <c r="N21" s="8">
        <f t="shared" si="2"/>
        <v>3</v>
      </c>
      <c r="O21" s="8">
        <f t="shared" si="0"/>
        <v>3</v>
      </c>
      <c r="P21" s="82" t="s">
        <v>11</v>
      </c>
      <c r="Q21" s="83">
        <v>2</v>
      </c>
      <c r="R21" s="67"/>
      <c r="S21" s="84">
        <v>2</v>
      </c>
      <c r="T21" s="68" t="b">
        <v>0</v>
      </c>
      <c r="U21" s="69" t="b">
        <v>0</v>
      </c>
      <c r="V21" s="1">
        <f t="shared" si="1"/>
        <v>0</v>
      </c>
      <c r="W21" s="1">
        <f>IF(AND(NOT(T21),NOT(U21)),S21,0)</f>
        <v>2</v>
      </c>
      <c r="Y21" s="1" t="s">
        <v>84</v>
      </c>
    </row>
    <row r="22" spans="2:25" ht="15.75" thickBot="1" x14ac:dyDescent="0.3">
      <c r="B22" s="121"/>
      <c r="C22" s="128"/>
      <c r="D22" s="134"/>
      <c r="E22" s="131"/>
      <c r="F22" s="133"/>
      <c r="G22" s="142"/>
      <c r="H22" s="8"/>
      <c r="I22" s="59"/>
      <c r="J22" s="68" t="s">
        <v>12</v>
      </c>
      <c r="K22" s="80">
        <v>2</v>
      </c>
      <c r="M22" s="81">
        <f>IF(AND($T$21,$U$21),0,IF($T$21,0,IF($U$21,0,1)))</f>
        <v>1</v>
      </c>
      <c r="N22" s="8">
        <f t="shared" si="2"/>
        <v>4</v>
      </c>
      <c r="O22" s="8">
        <f t="shared" si="0"/>
        <v>4</v>
      </c>
      <c r="P22" s="82" t="s">
        <v>12</v>
      </c>
      <c r="Q22" s="83">
        <v>2</v>
      </c>
      <c r="R22" s="67"/>
      <c r="S22" s="84">
        <v>2</v>
      </c>
      <c r="T22" s="68"/>
      <c r="U22" s="69"/>
      <c r="W22" s="1">
        <f>IF(AND(NOT(T21),NOT(U21)),S22,0)</f>
        <v>2</v>
      </c>
      <c r="Y22" s="1" t="s">
        <v>85</v>
      </c>
    </row>
    <row r="23" spans="2:25" ht="30.75" thickBot="1" x14ac:dyDescent="0.3">
      <c r="B23" s="121"/>
      <c r="C23" s="35" t="s">
        <v>13</v>
      </c>
      <c r="D23" s="36">
        <v>3</v>
      </c>
      <c r="E23" s="9"/>
      <c r="F23" s="10"/>
      <c r="G23" s="44" t="str">
        <f>IF(AND($T$23,$U$23),$Y$20,IF($T$23,$Y$15,IF($U$23,$Y$16,$Y$33)))</f>
        <v>Debe tomar el nuevo curso Taller de Herramientas de Diseño Experimental</v>
      </c>
      <c r="H23" s="8"/>
      <c r="I23" s="59"/>
      <c r="J23" s="68" t="s">
        <v>14</v>
      </c>
      <c r="K23" s="80">
        <v>2</v>
      </c>
      <c r="M23" s="72">
        <f>IF(AND($T$23,$U$23),0,IF($T$23,0,IF($U$23,0,1)))</f>
        <v>1</v>
      </c>
      <c r="N23" s="8">
        <f t="shared" ref="N23:N39" si="4">+M23+N22</f>
        <v>5</v>
      </c>
      <c r="O23" s="8">
        <f t="shared" ref="O23:O39" si="5">+N23*M23</f>
        <v>5</v>
      </c>
      <c r="P23" s="82" t="s">
        <v>14</v>
      </c>
      <c r="Q23" s="83">
        <v>2</v>
      </c>
      <c r="R23" s="67"/>
      <c r="S23" s="84">
        <v>2</v>
      </c>
      <c r="T23" s="68" t="b">
        <v>0</v>
      </c>
      <c r="U23" s="69" t="b">
        <v>0</v>
      </c>
      <c r="V23" s="1">
        <f t="shared" si="1"/>
        <v>0</v>
      </c>
      <c r="W23" s="1">
        <f>IF(AND(NOT(T23),NOT(U23)),S23,0)</f>
        <v>2</v>
      </c>
      <c r="Y23" s="1" t="s">
        <v>48</v>
      </c>
    </row>
    <row r="24" spans="2:25" x14ac:dyDescent="0.25">
      <c r="B24" s="121"/>
      <c r="C24" s="128" t="s">
        <v>15</v>
      </c>
      <c r="D24" s="134">
        <v>3</v>
      </c>
      <c r="E24" s="130"/>
      <c r="F24" s="132"/>
      <c r="G24" s="123" t="str">
        <f>IF(OR(AND(T24,U24),AND(T25,U25)),$Y$20,IF(AND(OR(T25,U25),OR(U24,AND(NOT(T24),NOT(U24)))),$Y$24,IF(AND(T24,T25),$Y$15,IF(AND(T24,U25),$Y$25,IF(OR(AND(U24,NOT(U25),NOT(T25)),AND(T24,NOT(U25),NOT(T25))),$Y$26,$Y$34)))))</f>
        <v>Debe tomar los nuevos cursos de Fenómenos de Transporte Macroscópicos, F.T. Microscópicos y F.T. Moleculares</v>
      </c>
      <c r="H24" s="8"/>
      <c r="I24" s="59"/>
      <c r="J24" s="135" t="s">
        <v>16</v>
      </c>
      <c r="K24" s="139">
        <v>2</v>
      </c>
      <c r="M24" s="85">
        <f>IF(AND(NOT(T24),NOT(T25),NOT(U24),NOT(U25)),1,0)</f>
        <v>1</v>
      </c>
      <c r="N24" s="8">
        <f t="shared" si="4"/>
        <v>6</v>
      </c>
      <c r="O24" s="8">
        <f t="shared" si="5"/>
        <v>6</v>
      </c>
      <c r="P24" s="86" t="s">
        <v>16</v>
      </c>
      <c r="Q24" s="87">
        <v>2</v>
      </c>
      <c r="R24" s="67"/>
      <c r="S24" s="129">
        <v>2</v>
      </c>
      <c r="T24" s="68" t="b">
        <v>0</v>
      </c>
      <c r="U24" s="69" t="b">
        <v>0</v>
      </c>
      <c r="V24" s="1">
        <f t="shared" si="1"/>
        <v>0</v>
      </c>
      <c r="W24" s="1">
        <f>IF(AND(NOT(T24),NOT(U24)),S24,0)</f>
        <v>2</v>
      </c>
      <c r="Y24" s="1" t="s">
        <v>52</v>
      </c>
    </row>
    <row r="25" spans="2:25" x14ac:dyDescent="0.25">
      <c r="B25" s="121"/>
      <c r="C25" s="128"/>
      <c r="D25" s="134"/>
      <c r="E25" s="136"/>
      <c r="F25" s="137"/>
      <c r="G25" s="121"/>
      <c r="H25" s="8"/>
      <c r="I25" s="59"/>
      <c r="J25" s="135"/>
      <c r="K25" s="139"/>
      <c r="M25" s="85">
        <f>IF(AND(NOT(T24),NOT(T25),NOT(U24),NOT(U25)),1,0)</f>
        <v>1</v>
      </c>
      <c r="N25" s="8">
        <f t="shared" si="4"/>
        <v>7</v>
      </c>
      <c r="O25" s="8">
        <f t="shared" si="5"/>
        <v>7</v>
      </c>
      <c r="P25" s="86" t="s">
        <v>17</v>
      </c>
      <c r="Q25" s="87">
        <v>2</v>
      </c>
      <c r="R25" s="67"/>
      <c r="S25" s="129"/>
      <c r="T25" s="68" t="b">
        <v>0</v>
      </c>
      <c r="U25" s="69" t="b">
        <v>0</v>
      </c>
      <c r="V25" s="1">
        <f>IF(OR(T25,U25),D24,0)</f>
        <v>0</v>
      </c>
      <c r="W25" s="1">
        <f>IF(AND(NOT(T25),NOT(U25)),S26,0)</f>
        <v>2</v>
      </c>
      <c r="Y25" s="1" t="s">
        <v>86</v>
      </c>
    </row>
    <row r="26" spans="2:25" x14ac:dyDescent="0.25">
      <c r="B26" s="121"/>
      <c r="C26" s="128"/>
      <c r="D26" s="134"/>
      <c r="E26" s="131"/>
      <c r="F26" s="133"/>
      <c r="G26" s="121"/>
      <c r="H26" s="8"/>
      <c r="I26" s="59"/>
      <c r="J26" s="135" t="s">
        <v>17</v>
      </c>
      <c r="K26" s="139">
        <v>2</v>
      </c>
      <c r="M26" s="85">
        <f>IF(AND(NOT(T24),NOT(T25),NOT(U24),NOT(U25)),1,0)</f>
        <v>1</v>
      </c>
      <c r="N26" s="8">
        <f t="shared" si="4"/>
        <v>8</v>
      </c>
      <c r="O26" s="8">
        <f t="shared" si="5"/>
        <v>8</v>
      </c>
      <c r="P26" s="86" t="s">
        <v>19</v>
      </c>
      <c r="Q26" s="87">
        <v>2</v>
      </c>
      <c r="R26" s="67"/>
      <c r="S26" s="129">
        <v>2</v>
      </c>
      <c r="T26" s="68"/>
      <c r="U26" s="69"/>
      <c r="W26" s="1">
        <f>IF(AND(NOT(T25),NOT(U25)),S28,0)</f>
        <v>2</v>
      </c>
      <c r="Y26" s="1" t="s">
        <v>54</v>
      </c>
    </row>
    <row r="27" spans="2:25" x14ac:dyDescent="0.25">
      <c r="B27" s="121"/>
      <c r="C27" s="128" t="s">
        <v>18</v>
      </c>
      <c r="D27" s="134">
        <v>3</v>
      </c>
      <c r="E27" s="130"/>
      <c r="F27" s="132"/>
      <c r="G27" s="121"/>
      <c r="H27" s="8"/>
      <c r="I27" s="59"/>
      <c r="J27" s="135"/>
      <c r="K27" s="139"/>
      <c r="M27" s="8"/>
      <c r="N27" s="8">
        <f t="shared" si="4"/>
        <v>8</v>
      </c>
      <c r="O27" s="8">
        <f t="shared" si="5"/>
        <v>0</v>
      </c>
      <c r="R27" s="67"/>
      <c r="S27" s="129"/>
      <c r="T27" s="68"/>
      <c r="U27" s="69"/>
      <c r="Y27" s="1" t="s">
        <v>101</v>
      </c>
    </row>
    <row r="28" spans="2:25" x14ac:dyDescent="0.25">
      <c r="B28" s="121"/>
      <c r="C28" s="128"/>
      <c r="D28" s="134"/>
      <c r="E28" s="136"/>
      <c r="F28" s="137"/>
      <c r="G28" s="121"/>
      <c r="H28" s="8"/>
      <c r="I28" s="59"/>
      <c r="J28" s="135" t="s">
        <v>19</v>
      </c>
      <c r="K28" s="139">
        <v>2</v>
      </c>
      <c r="M28" s="8">
        <f>IF(AND(NOT(T15),NOT(T16),NOT(U15),NOT(U16)),1,0)</f>
        <v>1</v>
      </c>
      <c r="N28" s="8">
        <f t="shared" si="4"/>
        <v>9</v>
      </c>
      <c r="O28" s="8">
        <f t="shared" si="5"/>
        <v>9</v>
      </c>
      <c r="P28" s="65" t="s">
        <v>73</v>
      </c>
      <c r="Q28" s="66">
        <v>3</v>
      </c>
      <c r="R28" s="67"/>
      <c r="S28" s="129">
        <v>2</v>
      </c>
      <c r="T28" s="68"/>
      <c r="U28" s="69"/>
      <c r="Y28" s="1" t="s">
        <v>55</v>
      </c>
    </row>
    <row r="29" spans="2:25" ht="15.75" thickBot="1" x14ac:dyDescent="0.3">
      <c r="B29" s="122"/>
      <c r="C29" s="159"/>
      <c r="D29" s="149"/>
      <c r="E29" s="138"/>
      <c r="F29" s="140"/>
      <c r="G29" s="122"/>
      <c r="H29" s="8"/>
      <c r="I29" s="59"/>
      <c r="J29" s="135"/>
      <c r="K29" s="139"/>
      <c r="M29" s="8">
        <f>IF(AND(NOT(T17),NOT(T18),NOT(U17),NOT(U18)),1,0)</f>
        <v>1</v>
      </c>
      <c r="N29" s="8">
        <f t="shared" si="4"/>
        <v>10</v>
      </c>
      <c r="O29" s="8">
        <f t="shared" si="5"/>
        <v>10</v>
      </c>
      <c r="P29" s="86" t="s">
        <v>74</v>
      </c>
      <c r="Q29" s="87">
        <v>3</v>
      </c>
      <c r="R29" s="67"/>
      <c r="S29" s="129"/>
      <c r="T29" s="68"/>
      <c r="U29" s="69"/>
      <c r="Y29" s="1" t="s">
        <v>75</v>
      </c>
    </row>
    <row r="30" spans="2:25" ht="15.75" customHeight="1" thickBot="1" x14ac:dyDescent="0.3">
      <c r="B30" s="121" t="s">
        <v>39</v>
      </c>
      <c r="C30" s="33" t="s">
        <v>20</v>
      </c>
      <c r="D30" s="34">
        <v>3</v>
      </c>
      <c r="E30" s="17"/>
      <c r="F30" s="18"/>
      <c r="G30" s="45" t="str">
        <f>IF(AND($T$30,$U$30),$Y$20,IF($T$30,$Y$15,IF($U$30,$Y$16,$Y$35)))</f>
        <v>Debe tomar el nuevo curso Proyecto Integrado 3</v>
      </c>
      <c r="H30" s="8"/>
      <c r="I30" s="59"/>
      <c r="J30" s="88" t="s">
        <v>21</v>
      </c>
      <c r="K30" s="89">
        <v>2</v>
      </c>
      <c r="M30" s="72">
        <f>IF(AND($T$30,$U$30),0,IF($T$30,0,IF($U$30,0,1)))</f>
        <v>1</v>
      </c>
      <c r="N30" s="8">
        <f t="shared" si="4"/>
        <v>11</v>
      </c>
      <c r="O30" s="8">
        <f t="shared" si="5"/>
        <v>11</v>
      </c>
      <c r="P30" s="90" t="s">
        <v>21</v>
      </c>
      <c r="Q30" s="91">
        <v>2</v>
      </c>
      <c r="R30" s="67"/>
      <c r="S30" s="92">
        <v>2</v>
      </c>
      <c r="T30" s="68" t="b">
        <v>0</v>
      </c>
      <c r="U30" s="69" t="b">
        <v>0</v>
      </c>
      <c r="V30" s="1">
        <f t="shared" si="1"/>
        <v>0</v>
      </c>
      <c r="W30" s="1">
        <f>IF(AND(NOT(T30),NOT(U30)),S30,0)</f>
        <v>2</v>
      </c>
      <c r="Y30" s="1" t="s">
        <v>90</v>
      </c>
    </row>
    <row r="31" spans="2:25" x14ac:dyDescent="0.25">
      <c r="B31" s="121"/>
      <c r="C31" s="35" t="s">
        <v>22</v>
      </c>
      <c r="D31" s="36">
        <v>3</v>
      </c>
      <c r="E31" s="9"/>
      <c r="F31" s="10"/>
      <c r="G31" s="141" t="str">
        <f>IF(OR(AND(T31,U31),AND(T32,U32)),$Y$20,IF(OR(AND(T32,NOT(T31),NOT(U31)),AND(T31,NOT(T32),NOT(U32))),$Y$28,IF(OR(AND(T32,U31),AND(T31,U32)),$Y$19,IF(AND(T31,T32),$Y$15,IF(AND(U31,U32),$Y$18,$Y$28)))))</f>
        <v>Debe tomar el nuevo curso de Proyecto Integrado 2</v>
      </c>
      <c r="H31" s="8"/>
      <c r="I31" s="59"/>
      <c r="J31" s="135" t="s">
        <v>23</v>
      </c>
      <c r="K31" s="139">
        <v>3</v>
      </c>
      <c r="M31" s="143">
        <f>IF(OR(AND(NOT(T31),NOT(T32),NOT(U31),NOT(U32)),AND(OR(T31,U31),NOT(T32),NOT(U32)),AND(OR(T32,U32),NOT(T31),NOT(U31))),1,0)</f>
        <v>1</v>
      </c>
      <c r="N31" s="8">
        <f t="shared" si="4"/>
        <v>12</v>
      </c>
      <c r="O31" s="8">
        <f t="shared" si="5"/>
        <v>12</v>
      </c>
      <c r="P31" s="86" t="s">
        <v>23</v>
      </c>
      <c r="Q31" s="87">
        <v>3</v>
      </c>
      <c r="R31" s="67"/>
      <c r="S31" s="129">
        <v>3</v>
      </c>
      <c r="T31" s="68" t="b">
        <v>0</v>
      </c>
      <c r="U31" s="69" t="b">
        <v>0</v>
      </c>
      <c r="V31" s="1">
        <f t="shared" si="1"/>
        <v>0</v>
      </c>
      <c r="W31" s="1">
        <f>IF(AND(NOT(T31),NOT(U31)),S31,0)</f>
        <v>3</v>
      </c>
      <c r="Y31" s="1" t="s">
        <v>91</v>
      </c>
    </row>
    <row r="32" spans="2:25" ht="15.75" thickBot="1" x14ac:dyDescent="0.3">
      <c r="B32" s="121"/>
      <c r="C32" s="35" t="s">
        <v>24</v>
      </c>
      <c r="D32" s="36">
        <v>3</v>
      </c>
      <c r="E32" s="9"/>
      <c r="F32" s="10"/>
      <c r="G32" s="142"/>
      <c r="H32" s="8"/>
      <c r="I32" s="59"/>
      <c r="J32" s="135"/>
      <c r="K32" s="139"/>
      <c r="M32" s="144"/>
      <c r="N32" s="8">
        <f>+M32+N31</f>
        <v>12</v>
      </c>
      <c r="O32" s="8">
        <f>+N32*M31</f>
        <v>12</v>
      </c>
      <c r="P32" s="86"/>
      <c r="Q32" s="87"/>
      <c r="R32" s="67"/>
      <c r="S32" s="129"/>
      <c r="T32" s="68" t="b">
        <v>0</v>
      </c>
      <c r="U32" s="69" t="b">
        <v>0</v>
      </c>
      <c r="V32" s="1">
        <f t="shared" si="1"/>
        <v>0</v>
      </c>
      <c r="W32" s="1">
        <f>IF(AND(NOT(T32),NOT(U32),OR(T31,U31)),S31,0)</f>
        <v>0</v>
      </c>
      <c r="Y32" s="1" t="s">
        <v>92</v>
      </c>
    </row>
    <row r="33" spans="1:31" ht="30" x14ac:dyDescent="0.25">
      <c r="B33" s="121"/>
      <c r="C33" s="128" t="s">
        <v>25</v>
      </c>
      <c r="D33" s="134">
        <v>3</v>
      </c>
      <c r="E33" s="130"/>
      <c r="F33" s="132"/>
      <c r="G33" s="123" t="str">
        <f>IF(AND($T$33,$U$33),$Y$20,IF($T$33,$Y$15,IF($U$33,$Y$16,$Y$36)))</f>
        <v>Debe tomar los nuevos cursos de Modelamiento de Sistemas Químicos y Taller de Herramientas Computacionales 1</v>
      </c>
      <c r="H33" s="8"/>
      <c r="I33" s="59"/>
      <c r="J33" s="68" t="s">
        <v>26</v>
      </c>
      <c r="K33" s="80">
        <v>3</v>
      </c>
      <c r="M33" s="8">
        <f>IF(AND(NOT(T33),NOT(U33)),1,0)</f>
        <v>1</v>
      </c>
      <c r="N33" s="8">
        <f>+M33+N32</f>
        <v>13</v>
      </c>
      <c r="O33" s="8">
        <f t="shared" si="5"/>
        <v>13</v>
      </c>
      <c r="P33" s="82" t="s">
        <v>26</v>
      </c>
      <c r="Q33" s="83">
        <v>3</v>
      </c>
      <c r="R33" s="67"/>
      <c r="S33" s="84">
        <v>3</v>
      </c>
      <c r="T33" s="68" t="b">
        <v>0</v>
      </c>
      <c r="U33" s="69" t="b">
        <v>0</v>
      </c>
      <c r="V33" s="1">
        <f t="shared" si="1"/>
        <v>0</v>
      </c>
      <c r="W33" s="1">
        <f>IF(AND(NOT(T33),NOT(U33)),S33,0)</f>
        <v>3</v>
      </c>
      <c r="Y33" s="1" t="s">
        <v>93</v>
      </c>
    </row>
    <row r="34" spans="1:31" ht="30.75" thickBot="1" x14ac:dyDescent="0.3">
      <c r="B34" s="121"/>
      <c r="C34" s="128"/>
      <c r="D34" s="134"/>
      <c r="E34" s="131"/>
      <c r="F34" s="133"/>
      <c r="G34" s="122"/>
      <c r="H34" s="8"/>
      <c r="I34" s="59"/>
      <c r="J34" s="68" t="s">
        <v>27</v>
      </c>
      <c r="K34" s="80">
        <v>2</v>
      </c>
      <c r="M34" s="8">
        <f>IF(AND(NOT(T33),NOT(U33)),1,0)</f>
        <v>1</v>
      </c>
      <c r="N34" s="8">
        <f t="shared" si="4"/>
        <v>14</v>
      </c>
      <c r="O34" s="8">
        <f t="shared" si="5"/>
        <v>14</v>
      </c>
      <c r="P34" s="82" t="s">
        <v>27</v>
      </c>
      <c r="Q34" s="83">
        <v>2</v>
      </c>
      <c r="R34" s="67"/>
      <c r="S34" s="84">
        <v>2</v>
      </c>
      <c r="T34" s="68"/>
      <c r="U34" s="69"/>
      <c r="W34" s="1">
        <f>IF(AND(NOT(T33),NOT(U33)),S34,0)</f>
        <v>2</v>
      </c>
      <c r="Y34" s="1" t="s">
        <v>94</v>
      </c>
    </row>
    <row r="35" spans="1:31" ht="30.75" thickBot="1" x14ac:dyDescent="0.3">
      <c r="B35" s="121"/>
      <c r="C35" s="35" t="s">
        <v>28</v>
      </c>
      <c r="D35" s="36">
        <v>3</v>
      </c>
      <c r="E35" s="9"/>
      <c r="F35" s="10"/>
      <c r="G35" s="44" t="str">
        <f>IF(AND($T$35,$U$35),$Y$20,IF($T$35,$Y$15,IF($U$35,$Y$16,$Y$37)))</f>
        <v>Debe tomar el nuevo curso Taller de Herramientas Computacionales 2</v>
      </c>
      <c r="H35" s="8"/>
      <c r="I35" s="59"/>
      <c r="J35" s="68" t="s">
        <v>63</v>
      </c>
      <c r="K35" s="80">
        <v>2</v>
      </c>
      <c r="M35" s="72">
        <f>IF(AND($T$35,$U$35),0,IF($T$35,0,IF($U$35,0,1)))</f>
        <v>1</v>
      </c>
      <c r="N35" s="8">
        <f t="shared" si="4"/>
        <v>15</v>
      </c>
      <c r="O35" s="8">
        <f t="shared" si="5"/>
        <v>15</v>
      </c>
      <c r="P35" s="82" t="s">
        <v>63</v>
      </c>
      <c r="Q35" s="83">
        <v>2</v>
      </c>
      <c r="R35" s="67"/>
      <c r="S35" s="84">
        <v>2</v>
      </c>
      <c r="T35" s="68" t="b">
        <v>0</v>
      </c>
      <c r="U35" s="69" t="b">
        <v>0</v>
      </c>
      <c r="V35" s="1">
        <f t="shared" si="1"/>
        <v>0</v>
      </c>
      <c r="W35" s="1">
        <f>IF(AND(NOT(T35),NOT(U35)),S35,0)</f>
        <v>2</v>
      </c>
      <c r="Y35" s="1" t="s">
        <v>95</v>
      </c>
    </row>
    <row r="36" spans="1:31" ht="15.75" thickBot="1" x14ac:dyDescent="0.3">
      <c r="B36" s="121"/>
      <c r="C36" s="35" t="s">
        <v>29</v>
      </c>
      <c r="D36" s="36">
        <v>3</v>
      </c>
      <c r="E36" s="9"/>
      <c r="F36" s="10"/>
      <c r="G36" s="44" t="str">
        <f>IF(AND($T$36,$U$36),$Y$20,IF($T$36,$Y$15,IF($U$36,$Y$16,$Y$38)))</f>
        <v>Debe tomar el nuevo curso Proyecto Integrado 4</v>
      </c>
      <c r="H36" s="8"/>
      <c r="I36" s="59"/>
      <c r="J36" s="68" t="s">
        <v>30</v>
      </c>
      <c r="K36" s="80">
        <v>4</v>
      </c>
      <c r="M36" s="72">
        <f>IF(AND($T$36,$U$36),0,IF($T$36,0,IF($U$36,0,1)))</f>
        <v>1</v>
      </c>
      <c r="N36" s="8">
        <f t="shared" si="4"/>
        <v>16</v>
      </c>
      <c r="O36" s="8">
        <f t="shared" si="5"/>
        <v>16</v>
      </c>
      <c r="P36" s="82" t="s">
        <v>30</v>
      </c>
      <c r="Q36" s="83">
        <v>4</v>
      </c>
      <c r="R36" s="67"/>
      <c r="S36" s="84">
        <v>4</v>
      </c>
      <c r="T36" s="68" t="b">
        <v>0</v>
      </c>
      <c r="U36" s="69" t="b">
        <v>0</v>
      </c>
      <c r="V36" s="1">
        <f t="shared" si="1"/>
        <v>0</v>
      </c>
      <c r="W36" s="1">
        <f>IF(AND(NOT(T36),NOT(U36)),S36,0)</f>
        <v>4</v>
      </c>
      <c r="Y36" s="1" t="s">
        <v>96</v>
      </c>
      <c r="Z36" s="93" t="s">
        <v>43</v>
      </c>
    </row>
    <row r="37" spans="1:31" ht="30.75" thickBot="1" x14ac:dyDescent="0.3">
      <c r="B37" s="121"/>
      <c r="C37" s="35" t="s">
        <v>31</v>
      </c>
      <c r="D37" s="36">
        <v>3</v>
      </c>
      <c r="E37" s="9"/>
      <c r="F37" s="10"/>
      <c r="G37" s="44" t="str">
        <f>IF(AND($T$37,$U$37),$Y$20,IF($T$37,$Y$15,IF($U$37,$Y$16,$Y$39)))</f>
        <v>Debe tomar el nuevo curso Taller de Métodos de Optimización en Ing. Química</v>
      </c>
      <c r="H37" s="8"/>
      <c r="I37" s="59"/>
      <c r="J37" s="68" t="s">
        <v>32</v>
      </c>
      <c r="K37" s="80">
        <v>2</v>
      </c>
      <c r="M37" s="72">
        <f>IF(AND($T$37,$U$37),0,IF($T$37,0,IF($U$37,0,1)))</f>
        <v>1</v>
      </c>
      <c r="N37" s="8">
        <f t="shared" si="4"/>
        <v>17</v>
      </c>
      <c r="O37" s="8">
        <f t="shared" si="5"/>
        <v>17</v>
      </c>
      <c r="P37" s="82" t="s">
        <v>32</v>
      </c>
      <c r="Q37" s="83">
        <v>2</v>
      </c>
      <c r="R37" s="67"/>
      <c r="S37" s="84">
        <v>2</v>
      </c>
      <c r="T37" s="68" t="b">
        <v>0</v>
      </c>
      <c r="U37" s="69" t="b">
        <v>0</v>
      </c>
      <c r="V37" s="1">
        <f t="shared" si="1"/>
        <v>0</v>
      </c>
      <c r="W37" s="1">
        <f>IF(AND(NOT(T37),NOT(U37)),S37,0)</f>
        <v>2</v>
      </c>
      <c r="Y37" s="1" t="s">
        <v>97</v>
      </c>
      <c r="Z37" s="93" t="s">
        <v>44</v>
      </c>
    </row>
    <row r="38" spans="1:31" ht="30" x14ac:dyDescent="0.25">
      <c r="B38" s="121"/>
      <c r="C38" s="124" t="s">
        <v>33</v>
      </c>
      <c r="D38" s="126">
        <v>3</v>
      </c>
      <c r="E38" s="19"/>
      <c r="F38" s="20"/>
      <c r="G38" s="123" t="str">
        <f>IF(AND($T$39,$U$39),$Y$20,IF($T$39,$Y$15,IF($U$39,$Y$16,$Y$27)))</f>
        <v>Puede tomar el curso antiguo si tiene por lo menos 110 créditos del programa aprobados, de otra forma deberá tomar el Proyecto de Desarrollo Profesional y el Seminario de Proyecto. Debe completar por lo menos de 134 créditos en total.</v>
      </c>
      <c r="H38" s="8"/>
      <c r="I38" s="59"/>
      <c r="J38" s="68" t="s">
        <v>100</v>
      </c>
      <c r="K38" s="80">
        <v>4</v>
      </c>
      <c r="M38" s="81">
        <f>IF(AND($V$41&gt;=38,NOT($T$39),NOT($U$39)),0,IF(AND($T$39,$U$39),0,IF($T$39,0,IF($U$39,0,1))))</f>
        <v>1</v>
      </c>
      <c r="N38" s="8">
        <f t="shared" si="4"/>
        <v>18</v>
      </c>
      <c r="O38" s="8">
        <f t="shared" si="5"/>
        <v>18</v>
      </c>
      <c r="P38" s="82" t="s">
        <v>100</v>
      </c>
      <c r="Q38" s="83">
        <v>4</v>
      </c>
      <c r="R38" s="67"/>
      <c r="S38" s="84">
        <v>4</v>
      </c>
      <c r="T38" s="68"/>
      <c r="U38" s="69"/>
      <c r="W38" s="1">
        <f>IF(AND($V$41&gt;=38,NOT($T$39),NOT($U$39)),3,IF(AND(NOT(T39),NOT(U39)),S38,0))</f>
        <v>4</v>
      </c>
      <c r="Y38" s="1" t="s">
        <v>98</v>
      </c>
      <c r="Z38" s="93"/>
    </row>
    <row r="39" spans="1:31" ht="33" customHeight="1" thickBot="1" x14ac:dyDescent="0.3">
      <c r="B39" s="122"/>
      <c r="C39" s="125"/>
      <c r="D39" s="127"/>
      <c r="E39" s="21"/>
      <c r="F39" s="22"/>
      <c r="G39" s="122"/>
      <c r="H39" s="8"/>
      <c r="I39" s="59"/>
      <c r="J39" s="94" t="s">
        <v>34</v>
      </c>
      <c r="K39" s="95">
        <v>1</v>
      </c>
      <c r="M39" s="96">
        <f>IF(AND($V$41&gt;=38,NOT($T$39),NOT($U$39)),0,IF(AND($T$39,$U$39),0,IF($T$39,0,IF($U$39,0,1))))</f>
        <v>1</v>
      </c>
      <c r="N39" s="8">
        <f t="shared" si="4"/>
        <v>19</v>
      </c>
      <c r="O39" s="8">
        <f t="shared" si="5"/>
        <v>19</v>
      </c>
      <c r="P39" s="97" t="s">
        <v>34</v>
      </c>
      <c r="Q39" s="98">
        <v>1</v>
      </c>
      <c r="R39" s="67"/>
      <c r="S39" s="99">
        <v>1</v>
      </c>
      <c r="T39" s="94" t="b">
        <v>0</v>
      </c>
      <c r="U39" s="100" t="b">
        <v>0</v>
      </c>
      <c r="V39" s="1">
        <f>IF(OR(T39,U39),Q40,0)</f>
        <v>0</v>
      </c>
      <c r="W39" s="1">
        <f>IF(AND($V$41&gt;=38,NOT($T$39),NOT($U$39)),0,IF(AND(NOT(T39),NOT(U39)),S39,0))</f>
        <v>1</v>
      </c>
      <c r="Y39" s="1" t="s">
        <v>99</v>
      </c>
      <c r="Z39" s="93" t="s">
        <v>51</v>
      </c>
    </row>
    <row r="40" spans="1:31" s="57" customFormat="1" ht="15.75" customHeight="1" x14ac:dyDescent="0.25">
      <c r="A40" s="2"/>
      <c r="B40" s="23"/>
      <c r="C40" s="4"/>
      <c r="D40" s="23"/>
      <c r="E40" s="23"/>
      <c r="F40" s="23"/>
      <c r="G40" s="23"/>
      <c r="H40" s="23"/>
      <c r="I40" s="60"/>
      <c r="J40" s="23"/>
      <c r="K40" s="4"/>
      <c r="L40" s="101"/>
      <c r="M40" s="102">
        <f>IF(AND($V$41&gt;=38,NOT($T$39),NOT($U$39)),1,0)</f>
        <v>0</v>
      </c>
      <c r="N40" s="8">
        <f>+M40+N39</f>
        <v>19</v>
      </c>
      <c r="O40" s="8">
        <f>+N40*M40</f>
        <v>0</v>
      </c>
      <c r="P40" s="102" t="s">
        <v>33</v>
      </c>
      <c r="Q40" s="102">
        <v>3</v>
      </c>
      <c r="R40" s="67"/>
      <c r="S40" s="103"/>
      <c r="T40" s="104"/>
      <c r="U40" s="104"/>
      <c r="V40" s="2"/>
      <c r="W40" s="2"/>
      <c r="X40" s="2"/>
      <c r="Y40" s="1"/>
      <c r="Z40" s="2" t="s">
        <v>56</v>
      </c>
      <c r="AA40" s="2"/>
      <c r="AB40" s="2"/>
      <c r="AC40" s="2"/>
      <c r="AD40" s="2"/>
      <c r="AE40" s="2"/>
    </row>
    <row r="41" spans="1:31" ht="15.75" thickBot="1" x14ac:dyDescent="0.3">
      <c r="V41" s="1">
        <f>SUM(V15:V40)</f>
        <v>0</v>
      </c>
      <c r="W41" s="1">
        <f>SUM(W15:W40)</f>
        <v>47</v>
      </c>
      <c r="Z41" s="1" t="s">
        <v>57</v>
      </c>
    </row>
    <row r="42" spans="1:31" x14ac:dyDescent="0.25">
      <c r="B42" s="46" t="s">
        <v>62</v>
      </c>
      <c r="C42" s="24">
        <v>201620</v>
      </c>
      <c r="E42" s="150" t="s">
        <v>89</v>
      </c>
      <c r="F42" s="151"/>
      <c r="G42" s="152"/>
      <c r="V42" s="1">
        <f>50-V41</f>
        <v>50</v>
      </c>
      <c r="W42" s="105">
        <f>59-(W41+V41)</f>
        <v>12</v>
      </c>
    </row>
    <row r="43" spans="1:31" x14ac:dyDescent="0.25">
      <c r="B43" s="47" t="s">
        <v>59</v>
      </c>
      <c r="C43" s="48" t="str">
        <f>IF($C$42&gt;=201110,"Debe tomar 2 cursos tipo E","No aplica")</f>
        <v>Debe tomar 2 cursos tipo E</v>
      </c>
      <c r="E43" s="153"/>
      <c r="F43" s="154"/>
      <c r="G43" s="155"/>
      <c r="V43" s="1">
        <f>+V42-W41</f>
        <v>3</v>
      </c>
      <c r="W43" s="1">
        <f>9+V43</f>
        <v>12</v>
      </c>
      <c r="Z43" s="1" t="s">
        <v>64</v>
      </c>
    </row>
    <row r="44" spans="1:31" x14ac:dyDescent="0.25">
      <c r="B44" s="47" t="s">
        <v>60</v>
      </c>
      <c r="C44" s="48" t="str">
        <f>IF($C$42&gt;=201710,"Debe tomar 1 curso tipo i","No aplica")</f>
        <v>No aplica</v>
      </c>
      <c r="E44" s="153"/>
      <c r="F44" s="154"/>
      <c r="G44" s="155"/>
      <c r="Z44" s="1" t="s">
        <v>65</v>
      </c>
    </row>
    <row r="45" spans="1:31" ht="15.75" thickBot="1" x14ac:dyDescent="0.3">
      <c r="B45" s="49" t="s">
        <v>61</v>
      </c>
      <c r="C45" s="50" t="str">
        <f>IF($C$42&gt;=201820,"Debe tomar 1 curso tipo eps.","No aplica")</f>
        <v>No aplica</v>
      </c>
      <c r="E45" s="156"/>
      <c r="F45" s="157"/>
      <c r="G45" s="158"/>
    </row>
    <row r="46" spans="1:31" x14ac:dyDescent="0.25"/>
    <row r="47" spans="1:31" x14ac:dyDescent="0.25"/>
    <row r="48" spans="1:31" ht="15.75" thickBot="1" x14ac:dyDescent="0.3"/>
    <row r="49" spans="2:8" ht="15.75" thickBot="1" x14ac:dyDescent="0.3">
      <c r="B49" s="117" t="s">
        <v>68</v>
      </c>
      <c r="C49" s="118"/>
      <c r="D49" s="51" t="s">
        <v>69</v>
      </c>
      <c r="E49" s="52"/>
      <c r="F49" s="52"/>
    </row>
    <row r="50" spans="2:8" x14ac:dyDescent="0.25">
      <c r="B50" s="119" t="s">
        <v>72</v>
      </c>
      <c r="C50" s="120"/>
      <c r="D50" s="53">
        <f>+W42</f>
        <v>12</v>
      </c>
      <c r="E50" s="54"/>
      <c r="F50" s="54"/>
      <c r="G50" s="3"/>
    </row>
    <row r="51" spans="2:8" x14ac:dyDescent="0.25">
      <c r="B51" s="115" t="str">
        <f>IFERROR(INDEX($P$15:$Q$40,$E51,1),"")</f>
        <v>Introducción a la Programación</v>
      </c>
      <c r="C51" s="116"/>
      <c r="D51" s="55">
        <f>IFERROR(INDEX($P$15:$Q$40,$E51,2),"")</f>
        <v>3</v>
      </c>
      <c r="E51" s="54">
        <f>MATCH($F51,$O$15:$O$40,0)</f>
        <v>5</v>
      </c>
      <c r="F51" s="54">
        <v>1</v>
      </c>
      <c r="G51" s="26"/>
      <c r="H51" s="27"/>
    </row>
    <row r="52" spans="2:8" x14ac:dyDescent="0.25">
      <c r="B52" s="115" t="str">
        <f>IFERROR(INDEX($P$15:$Q$40,$E52,1),"")</f>
        <v>Introducción al Diseño Integrado de Procesos y Productos</v>
      </c>
      <c r="C52" s="116"/>
      <c r="D52" s="55">
        <f t="shared" ref="D52:D69" si="6">IFERROR(INDEX($P$15:$Q$40,$E52,2),"")</f>
        <v>3</v>
      </c>
      <c r="E52" s="54">
        <f t="shared" ref="E52:E69" si="7">MATCH($F52,$O$15:$O$40,0)</f>
        <v>6</v>
      </c>
      <c r="F52" s="54">
        <v>2</v>
      </c>
      <c r="G52" s="28"/>
      <c r="H52" s="27"/>
    </row>
    <row r="53" spans="2:8" x14ac:dyDescent="0.25">
      <c r="B53" s="115" t="str">
        <f t="shared" ref="B53:B69" si="8">IFERROR(INDEX($P$15:$Q$40,$E53,1),"")</f>
        <v>Balances de Energía</v>
      </c>
      <c r="C53" s="116"/>
      <c r="D53" s="55">
        <f t="shared" si="6"/>
        <v>2</v>
      </c>
      <c r="E53" s="54">
        <f t="shared" si="7"/>
        <v>7</v>
      </c>
      <c r="F53" s="54">
        <v>3</v>
      </c>
      <c r="G53" s="26"/>
      <c r="H53" s="27"/>
    </row>
    <row r="54" spans="2:8" x14ac:dyDescent="0.25">
      <c r="B54" s="115" t="str">
        <f t="shared" si="8"/>
        <v>Balances de Materia</v>
      </c>
      <c r="C54" s="116"/>
      <c r="D54" s="55">
        <f t="shared" si="6"/>
        <v>2</v>
      </c>
      <c r="E54" s="54">
        <f t="shared" si="7"/>
        <v>8</v>
      </c>
      <c r="F54" s="54">
        <v>4</v>
      </c>
      <c r="G54" s="26"/>
      <c r="H54" s="27"/>
    </row>
    <row r="55" spans="2:8" x14ac:dyDescent="0.25">
      <c r="B55" s="115" t="str">
        <f t="shared" si="8"/>
        <v>Taller de Herramientas de Diseño Experimental</v>
      </c>
      <c r="C55" s="116"/>
      <c r="D55" s="55">
        <f t="shared" si="6"/>
        <v>2</v>
      </c>
      <c r="E55" s="54">
        <f t="shared" si="7"/>
        <v>9</v>
      </c>
      <c r="F55" s="54">
        <v>5</v>
      </c>
      <c r="G55" s="26"/>
      <c r="H55" s="27"/>
    </row>
    <row r="56" spans="2:8" x14ac:dyDescent="0.25">
      <c r="B56" s="115" t="str">
        <f t="shared" si="8"/>
        <v>Fenómenos de Transporte Macroscópicos</v>
      </c>
      <c r="C56" s="116"/>
      <c r="D56" s="55">
        <f t="shared" si="6"/>
        <v>2</v>
      </c>
      <c r="E56" s="54">
        <f t="shared" si="7"/>
        <v>10</v>
      </c>
      <c r="F56" s="54">
        <v>6</v>
      </c>
      <c r="G56" s="26"/>
      <c r="H56" s="27"/>
    </row>
    <row r="57" spans="2:8" x14ac:dyDescent="0.25">
      <c r="B57" s="115" t="str">
        <f t="shared" si="8"/>
        <v>Fenómenos de Transporte Microscópicos</v>
      </c>
      <c r="C57" s="116"/>
      <c r="D57" s="55">
        <f t="shared" si="6"/>
        <v>2</v>
      </c>
      <c r="E57" s="54">
        <f t="shared" si="7"/>
        <v>11</v>
      </c>
      <c r="F57" s="54">
        <v>7</v>
      </c>
      <c r="G57" s="26"/>
      <c r="H57" s="27"/>
    </row>
    <row r="58" spans="2:8" x14ac:dyDescent="0.25">
      <c r="B58" s="115" t="str">
        <f t="shared" si="8"/>
        <v>Fenómenos de Transporte Moleculares</v>
      </c>
      <c r="C58" s="116"/>
      <c r="D58" s="55">
        <f t="shared" si="6"/>
        <v>2</v>
      </c>
      <c r="E58" s="54">
        <f t="shared" si="7"/>
        <v>12</v>
      </c>
      <c r="F58" s="54">
        <v>8</v>
      </c>
      <c r="G58" s="26"/>
      <c r="H58" s="27"/>
    </row>
    <row r="59" spans="2:8" x14ac:dyDescent="0.25">
      <c r="B59" s="115" t="str">
        <f t="shared" si="8"/>
        <v>Física I (nuevo)</v>
      </c>
      <c r="C59" s="116"/>
      <c r="D59" s="55">
        <f t="shared" si="6"/>
        <v>3</v>
      </c>
      <c r="E59" s="54">
        <f t="shared" si="7"/>
        <v>14</v>
      </c>
      <c r="F59" s="54">
        <v>9</v>
      </c>
      <c r="G59" s="26"/>
      <c r="H59" s="27"/>
    </row>
    <row r="60" spans="2:8" x14ac:dyDescent="0.25">
      <c r="B60" s="115" t="str">
        <f t="shared" si="8"/>
        <v>Física II (nuevo)</v>
      </c>
      <c r="C60" s="116"/>
      <c r="D60" s="55">
        <f t="shared" si="6"/>
        <v>3</v>
      </c>
      <c r="E60" s="54">
        <f t="shared" si="7"/>
        <v>15</v>
      </c>
      <c r="F60" s="54">
        <v>10</v>
      </c>
      <c r="G60" s="26"/>
      <c r="H60" s="27"/>
    </row>
    <row r="61" spans="2:8" x14ac:dyDescent="0.25">
      <c r="B61" s="115" t="str">
        <f t="shared" si="8"/>
        <v>Proyecto Integrado 3</v>
      </c>
      <c r="C61" s="116"/>
      <c r="D61" s="55">
        <f t="shared" si="6"/>
        <v>2</v>
      </c>
      <c r="E61" s="54">
        <f t="shared" si="7"/>
        <v>16</v>
      </c>
      <c r="F61" s="54">
        <v>11</v>
      </c>
      <c r="G61" s="26"/>
      <c r="H61" s="27"/>
    </row>
    <row r="62" spans="2:8" x14ac:dyDescent="0.25">
      <c r="B62" s="115" t="str">
        <f t="shared" si="8"/>
        <v>Proyecto Integrado 2</v>
      </c>
      <c r="C62" s="116"/>
      <c r="D62" s="55">
        <f t="shared" si="6"/>
        <v>3</v>
      </c>
      <c r="E62" s="54">
        <f t="shared" si="7"/>
        <v>17</v>
      </c>
      <c r="F62" s="54">
        <v>12</v>
      </c>
      <c r="G62" s="26"/>
      <c r="H62" s="27"/>
    </row>
    <row r="63" spans="2:8" x14ac:dyDescent="0.25">
      <c r="B63" s="115" t="str">
        <f t="shared" si="8"/>
        <v>Modelamiento de Sistemas Químicos</v>
      </c>
      <c r="C63" s="116"/>
      <c r="D63" s="55">
        <f t="shared" si="6"/>
        <v>3</v>
      </c>
      <c r="E63" s="54">
        <f t="shared" si="7"/>
        <v>19</v>
      </c>
      <c r="F63" s="54">
        <v>13</v>
      </c>
      <c r="G63" s="26"/>
      <c r="H63" s="27"/>
    </row>
    <row r="64" spans="2:8" x14ac:dyDescent="0.25">
      <c r="B64" s="115" t="str">
        <f t="shared" si="8"/>
        <v>Taller de Herramientas Computacionales 1</v>
      </c>
      <c r="C64" s="116"/>
      <c r="D64" s="55">
        <f t="shared" si="6"/>
        <v>2</v>
      </c>
      <c r="E64" s="54">
        <f t="shared" si="7"/>
        <v>20</v>
      </c>
      <c r="F64" s="54">
        <v>14</v>
      </c>
      <c r="G64" s="26"/>
      <c r="H64" s="27"/>
    </row>
    <row r="65" spans="2:8" x14ac:dyDescent="0.25">
      <c r="B65" s="115" t="str">
        <f t="shared" si="8"/>
        <v>Taller de Herramientas Computacionales 2</v>
      </c>
      <c r="C65" s="116"/>
      <c r="D65" s="55">
        <f t="shared" si="6"/>
        <v>2</v>
      </c>
      <c r="E65" s="54">
        <f t="shared" si="7"/>
        <v>21</v>
      </c>
      <c r="F65" s="54">
        <v>15</v>
      </c>
      <c r="G65" s="26"/>
      <c r="H65" s="27"/>
    </row>
    <row r="66" spans="2:8" x14ac:dyDescent="0.25">
      <c r="B66" s="115" t="str">
        <f t="shared" si="8"/>
        <v>Proyecto Integrado 4</v>
      </c>
      <c r="C66" s="116"/>
      <c r="D66" s="55">
        <f t="shared" si="6"/>
        <v>4</v>
      </c>
      <c r="E66" s="54">
        <f t="shared" si="7"/>
        <v>22</v>
      </c>
      <c r="F66" s="54">
        <v>16</v>
      </c>
      <c r="G66" s="26"/>
      <c r="H66" s="27"/>
    </row>
    <row r="67" spans="2:8" x14ac:dyDescent="0.25">
      <c r="B67" s="115" t="str">
        <f t="shared" si="8"/>
        <v>Taller de Métodos de Optimización en Ing. Química</v>
      </c>
      <c r="C67" s="116"/>
      <c r="D67" s="55">
        <f t="shared" si="6"/>
        <v>2</v>
      </c>
      <c r="E67" s="54">
        <f t="shared" si="7"/>
        <v>23</v>
      </c>
      <c r="F67" s="54">
        <v>17</v>
      </c>
      <c r="G67" s="26"/>
      <c r="H67" s="27"/>
    </row>
    <row r="68" spans="2:8" x14ac:dyDescent="0.25">
      <c r="B68" s="115" t="str">
        <f t="shared" si="8"/>
        <v>Proyecto de Desarrollo Profesional</v>
      </c>
      <c r="C68" s="116"/>
      <c r="D68" s="55">
        <f t="shared" si="6"/>
        <v>4</v>
      </c>
      <c r="E68" s="54">
        <f t="shared" si="7"/>
        <v>24</v>
      </c>
      <c r="F68" s="54">
        <v>18</v>
      </c>
      <c r="G68" s="26"/>
      <c r="H68" s="27"/>
    </row>
    <row r="69" spans="2:8" x14ac:dyDescent="0.25">
      <c r="B69" s="115" t="str">
        <f t="shared" si="8"/>
        <v>Seminario de Proyecto</v>
      </c>
      <c r="C69" s="116"/>
      <c r="D69" s="55">
        <f t="shared" si="6"/>
        <v>1</v>
      </c>
      <c r="E69" s="54">
        <f t="shared" si="7"/>
        <v>25</v>
      </c>
      <c r="F69" s="54">
        <v>19</v>
      </c>
      <c r="G69" s="26"/>
      <c r="H69" s="27"/>
    </row>
    <row r="70" spans="2:8" ht="15.75" thickBot="1" x14ac:dyDescent="0.3">
      <c r="B70" s="161" t="s">
        <v>80</v>
      </c>
      <c r="C70" s="162"/>
      <c r="D70" s="56">
        <f>SUM(D51:D69)</f>
        <v>47</v>
      </c>
      <c r="E70" s="54"/>
      <c r="F70" s="54">
        <v>20</v>
      </c>
      <c r="G70" s="26"/>
      <c r="H70" s="27"/>
    </row>
    <row r="71" spans="2:8" x14ac:dyDescent="0.25">
      <c r="B71" s="160"/>
      <c r="C71" s="160"/>
      <c r="D71" s="29"/>
      <c r="E71" s="25"/>
      <c r="F71" s="25">
        <v>21</v>
      </c>
    </row>
    <row r="72" spans="2:8" x14ac:dyDescent="0.25">
      <c r="B72" s="160"/>
      <c r="C72" s="160"/>
      <c r="D72" s="29"/>
      <c r="E72" s="25"/>
      <c r="F72" s="25">
        <v>22</v>
      </c>
    </row>
    <row r="73" spans="2:8" hidden="1" x14ac:dyDescent="0.25">
      <c r="B73" s="160"/>
      <c r="C73" s="160"/>
      <c r="D73" s="29"/>
      <c r="E73" s="25"/>
      <c r="F73" s="25">
        <v>23</v>
      </c>
    </row>
    <row r="74" spans="2:8" hidden="1" x14ac:dyDescent="0.25">
      <c r="B74" s="160"/>
      <c r="C74" s="160"/>
      <c r="E74" s="25"/>
      <c r="F74" s="25">
        <v>24</v>
      </c>
    </row>
  </sheetData>
  <sheetProtection algorithmName="SHA-512" hashValue="gY6Rdu/0FK2o29eNCULDdEccgh3CiH4l3oSfWJQBrIen/l/ZBvQs1m01DHz6ewERwT/7v9grd/Nk1jFfcMka3Q==" saltValue="nNUAo52MVHI/Va96Kg77Ww==" spinCount="100000" sheet="1" objects="1" scenarios="1"/>
  <mergeCells count="75">
    <mergeCell ref="B63:C63"/>
    <mergeCell ref="B64:C64"/>
    <mergeCell ref="B65:C65"/>
    <mergeCell ref="B66:C66"/>
    <mergeCell ref="B67:C67"/>
    <mergeCell ref="B73:C73"/>
    <mergeCell ref="B74:C74"/>
    <mergeCell ref="B68:C68"/>
    <mergeCell ref="B70:C70"/>
    <mergeCell ref="B71:C71"/>
    <mergeCell ref="B72:C72"/>
    <mergeCell ref="B69:C69"/>
    <mergeCell ref="B61:C61"/>
    <mergeCell ref="B62:C62"/>
    <mergeCell ref="B20:B29"/>
    <mergeCell ref="G15:G16"/>
    <mergeCell ref="G17:G18"/>
    <mergeCell ref="B58:C58"/>
    <mergeCell ref="B59:C59"/>
    <mergeCell ref="B60:C60"/>
    <mergeCell ref="E42:G45"/>
    <mergeCell ref="D24:D26"/>
    <mergeCell ref="C27:C29"/>
    <mergeCell ref="G21:G22"/>
    <mergeCell ref="J24:J25"/>
    <mergeCell ref="C21:C22"/>
    <mergeCell ref="D21:D22"/>
    <mergeCell ref="D27:D29"/>
    <mergeCell ref="E21:E22"/>
    <mergeCell ref="F21:F22"/>
    <mergeCell ref="S15:S16"/>
    <mergeCell ref="J17:J18"/>
    <mergeCell ref="S17:S18"/>
    <mergeCell ref="K15:K16"/>
    <mergeCell ref="K17:K18"/>
    <mergeCell ref="J15:J16"/>
    <mergeCell ref="S24:S25"/>
    <mergeCell ref="J26:J27"/>
    <mergeCell ref="S26:S27"/>
    <mergeCell ref="S31:S32"/>
    <mergeCell ref="E24:E26"/>
    <mergeCell ref="F24:F26"/>
    <mergeCell ref="E27:E29"/>
    <mergeCell ref="K24:K25"/>
    <mergeCell ref="K26:K27"/>
    <mergeCell ref="J31:J32"/>
    <mergeCell ref="G24:G29"/>
    <mergeCell ref="F27:F29"/>
    <mergeCell ref="G31:G32"/>
    <mergeCell ref="K28:K29"/>
    <mergeCell ref="K31:K32"/>
    <mergeCell ref="M31:M32"/>
    <mergeCell ref="S28:S29"/>
    <mergeCell ref="E33:E34"/>
    <mergeCell ref="F33:F34"/>
    <mergeCell ref="C33:C34"/>
    <mergeCell ref="D33:D34"/>
    <mergeCell ref="G33:G34"/>
    <mergeCell ref="J28:J29"/>
    <mergeCell ref="B3:G11"/>
    <mergeCell ref="B55:C55"/>
    <mergeCell ref="B56:C56"/>
    <mergeCell ref="B57:C57"/>
    <mergeCell ref="B49:C49"/>
    <mergeCell ref="B50:C50"/>
    <mergeCell ref="B51:C51"/>
    <mergeCell ref="B52:C52"/>
    <mergeCell ref="B53:C53"/>
    <mergeCell ref="B54:C54"/>
    <mergeCell ref="B30:B39"/>
    <mergeCell ref="G38:G39"/>
    <mergeCell ref="C38:C39"/>
    <mergeCell ref="D38:D39"/>
    <mergeCell ref="B15:B18"/>
    <mergeCell ref="C24:C26"/>
  </mergeCells>
  <conditionalFormatting sqref="R15:R18 M15:O15 M16:N16 M17:M18 G15:I18 O16:O40 N17:N40">
    <cfRule type="containsText" dxfId="58" priority="57" operator="containsText" text="caso">
      <formula>NOT(ISERROR(SEARCH("caso",G15)))</formula>
    </cfRule>
    <cfRule type="containsText" dxfId="57" priority="58" operator="containsText" text="error">
      <formula>NOT(ISERROR(SEARCH("error",G15)))</formula>
    </cfRule>
    <cfRule type="containsText" dxfId="56" priority="59" operator="containsText" text="cumple">
      <formula>NOT(ISERROR(SEARCH("cumple",G15)))</formula>
    </cfRule>
    <cfRule type="containsText" dxfId="55" priority="60" operator="containsText" text="debe">
      <formula>NOT(ISERROR(SEARCH("debe",G15)))</formula>
    </cfRule>
  </conditionalFormatting>
  <conditionalFormatting sqref="R15:R18 M15:O15 M16:N16 M17:M18 G15:I18 M38 G38:I38 O16:O40 N17:N40">
    <cfRule type="containsText" dxfId="54" priority="56" operator="containsText" text="puede">
      <formula>NOT(ISERROR(SEARCH("puede",G15)))</formula>
    </cfRule>
  </conditionalFormatting>
  <conditionalFormatting sqref="R17:R18">
    <cfRule type="containsText" dxfId="53" priority="55" operator="containsText" text="puede">
      <formula>NOT(ISERROR(SEARCH("puede",R17)))</formula>
    </cfRule>
  </conditionalFormatting>
  <conditionalFormatting sqref="R19:R21 G19:I21 M19:M23 G23:I23 M30 G30:I30 M33 G33:I33 M35:M38 G35:I38">
    <cfRule type="containsText" dxfId="52" priority="50" operator="containsText" text="caso">
      <formula>NOT(ISERROR(SEARCH("caso",G19)))</formula>
    </cfRule>
    <cfRule type="containsText" dxfId="51" priority="51" operator="containsText" text="caso">
      <formula>NOT(ISERROR(SEARCH("caso",G19)))</formula>
    </cfRule>
    <cfRule type="containsText" dxfId="50" priority="52" operator="containsText" text="cumple">
      <formula>NOT(ISERROR(SEARCH("cumple",G19)))</formula>
    </cfRule>
    <cfRule type="containsText" dxfId="49" priority="53" operator="containsText" text="error">
      <formula>NOT(ISERROR(SEARCH("error",G19)))</formula>
    </cfRule>
    <cfRule type="containsText" dxfId="48" priority="54" operator="containsText" text="debe">
      <formula>NOT(ISERROR(SEARCH("debe",G19)))</formula>
    </cfRule>
  </conditionalFormatting>
  <conditionalFormatting sqref="R23">
    <cfRule type="containsText" dxfId="47" priority="45" operator="containsText" text="caso">
      <formula>NOT(ISERROR(SEARCH("caso",R23)))</formula>
    </cfRule>
    <cfRule type="containsText" dxfId="46" priority="46" operator="containsText" text="caso">
      <formula>NOT(ISERROR(SEARCH("caso",R23)))</formula>
    </cfRule>
    <cfRule type="containsText" dxfId="45" priority="47" operator="containsText" text="cumple">
      <formula>NOT(ISERROR(SEARCH("cumple",R23)))</formula>
    </cfRule>
    <cfRule type="containsText" dxfId="44" priority="48" operator="containsText" text="error">
      <formula>NOT(ISERROR(SEARCH("error",R23)))</formula>
    </cfRule>
    <cfRule type="containsText" dxfId="43" priority="49" operator="containsText" text="debe">
      <formula>NOT(ISERROR(SEARCH("debe",R23)))</formula>
    </cfRule>
  </conditionalFormatting>
  <conditionalFormatting sqref="R24 M24 G24:I24 M31:M32 G31:I32">
    <cfRule type="containsText" dxfId="42" priority="41" operator="containsText" text="caso">
      <formula>NOT(ISERROR(SEARCH("caso",G24)))</formula>
    </cfRule>
    <cfRule type="containsText" dxfId="41" priority="42" operator="containsText" text="cumple">
      <formula>NOT(ISERROR(SEARCH("cumple",G24)))</formula>
    </cfRule>
    <cfRule type="containsText" dxfId="40" priority="43" operator="containsText" text="debe">
      <formula>NOT(ISERROR(SEARCH("debe",G24)))</formula>
    </cfRule>
    <cfRule type="containsText" dxfId="39" priority="44" operator="containsText" text="error">
      <formula>NOT(ISERROR(SEARCH("error",G24)))</formula>
    </cfRule>
  </conditionalFormatting>
  <conditionalFormatting sqref="R30">
    <cfRule type="containsText" dxfId="38" priority="36" operator="containsText" text="caso">
      <formula>NOT(ISERROR(SEARCH("caso",R30)))</formula>
    </cfRule>
    <cfRule type="containsText" dxfId="37" priority="37" operator="containsText" text="caso">
      <formula>NOT(ISERROR(SEARCH("caso",R30)))</formula>
    </cfRule>
    <cfRule type="containsText" dxfId="36" priority="38" operator="containsText" text="cumple">
      <formula>NOT(ISERROR(SEARCH("cumple",R30)))</formula>
    </cfRule>
    <cfRule type="containsText" dxfId="35" priority="39" operator="containsText" text="error">
      <formula>NOT(ISERROR(SEARCH("error",R30)))</formula>
    </cfRule>
    <cfRule type="containsText" dxfId="34" priority="40" operator="containsText" text="debe">
      <formula>NOT(ISERROR(SEARCH("debe",R30)))</formula>
    </cfRule>
  </conditionalFormatting>
  <conditionalFormatting sqref="R35">
    <cfRule type="containsText" dxfId="33" priority="31" operator="containsText" text="caso">
      <formula>NOT(ISERROR(SEARCH("caso",R35)))</formula>
    </cfRule>
    <cfRule type="containsText" dxfId="32" priority="32" operator="containsText" text="caso">
      <formula>NOT(ISERROR(SEARCH("caso",R35)))</formula>
    </cfRule>
    <cfRule type="containsText" dxfId="31" priority="33" operator="containsText" text="cumple">
      <formula>NOT(ISERROR(SEARCH("cumple",R35)))</formula>
    </cfRule>
    <cfRule type="containsText" dxfId="30" priority="34" operator="containsText" text="error">
      <formula>NOT(ISERROR(SEARCH("error",R35)))</formula>
    </cfRule>
    <cfRule type="containsText" dxfId="29" priority="35" operator="containsText" text="debe">
      <formula>NOT(ISERROR(SEARCH("debe",R35)))</formula>
    </cfRule>
  </conditionalFormatting>
  <conditionalFormatting sqref="R36">
    <cfRule type="containsText" dxfId="28" priority="26" operator="containsText" text="caso">
      <formula>NOT(ISERROR(SEARCH("caso",R36)))</formula>
    </cfRule>
    <cfRule type="containsText" dxfId="27" priority="27" operator="containsText" text="caso">
      <formula>NOT(ISERROR(SEARCH("caso",R36)))</formula>
    </cfRule>
    <cfRule type="containsText" dxfId="26" priority="28" operator="containsText" text="cumple">
      <formula>NOT(ISERROR(SEARCH("cumple",R36)))</formula>
    </cfRule>
    <cfRule type="containsText" dxfId="25" priority="29" operator="containsText" text="error">
      <formula>NOT(ISERROR(SEARCH("error",R36)))</formula>
    </cfRule>
    <cfRule type="containsText" dxfId="24" priority="30" operator="containsText" text="debe">
      <formula>NOT(ISERROR(SEARCH("debe",R36)))</formula>
    </cfRule>
  </conditionalFormatting>
  <conditionalFormatting sqref="R37">
    <cfRule type="containsText" dxfId="23" priority="21" operator="containsText" text="caso">
      <formula>NOT(ISERROR(SEARCH("caso",R37)))</formula>
    </cfRule>
    <cfRule type="containsText" dxfId="22" priority="22" operator="containsText" text="caso">
      <formula>NOT(ISERROR(SEARCH("caso",R37)))</formula>
    </cfRule>
    <cfRule type="containsText" dxfId="21" priority="23" operator="containsText" text="cumple">
      <formula>NOT(ISERROR(SEARCH("cumple",R37)))</formula>
    </cfRule>
    <cfRule type="containsText" dxfId="20" priority="24" operator="containsText" text="error">
      <formula>NOT(ISERROR(SEARCH("error",R37)))</formula>
    </cfRule>
    <cfRule type="containsText" dxfId="19" priority="25" operator="containsText" text="debe">
      <formula>NOT(ISERROR(SEARCH("debe",R37)))</formula>
    </cfRule>
  </conditionalFormatting>
  <conditionalFormatting sqref="R33">
    <cfRule type="containsText" dxfId="18" priority="16" operator="containsText" text="caso">
      <formula>NOT(ISERROR(SEARCH("caso",R33)))</formula>
    </cfRule>
    <cfRule type="containsText" dxfId="17" priority="17" operator="containsText" text="caso">
      <formula>NOT(ISERROR(SEARCH("caso",R33)))</formula>
    </cfRule>
    <cfRule type="containsText" dxfId="16" priority="18" operator="containsText" text="cumple">
      <formula>NOT(ISERROR(SEARCH("cumple",R33)))</formula>
    </cfRule>
    <cfRule type="containsText" dxfId="15" priority="19" operator="containsText" text="error">
      <formula>NOT(ISERROR(SEARCH("error",R33)))</formula>
    </cfRule>
    <cfRule type="containsText" dxfId="14" priority="20" operator="containsText" text="debe">
      <formula>NOT(ISERROR(SEARCH("debe",R33)))</formula>
    </cfRule>
  </conditionalFormatting>
  <conditionalFormatting sqref="R38">
    <cfRule type="containsText" dxfId="13" priority="11" operator="containsText" text="caso">
      <formula>NOT(ISERROR(SEARCH("caso",R38)))</formula>
    </cfRule>
    <cfRule type="containsText" dxfId="12" priority="12" operator="containsText" text="caso">
      <formula>NOT(ISERROR(SEARCH("caso",R38)))</formula>
    </cfRule>
    <cfRule type="containsText" dxfId="11" priority="13" operator="containsText" text="cumple">
      <formula>NOT(ISERROR(SEARCH("cumple",R38)))</formula>
    </cfRule>
    <cfRule type="containsText" dxfId="10" priority="14" operator="containsText" text="error">
      <formula>NOT(ISERROR(SEARCH("error",R38)))</formula>
    </cfRule>
    <cfRule type="containsText" dxfId="9" priority="15" operator="containsText" text="debe">
      <formula>NOT(ISERROR(SEARCH("debe",R38)))</formula>
    </cfRule>
  </conditionalFormatting>
  <conditionalFormatting sqref="R38">
    <cfRule type="containsText" dxfId="8" priority="10" operator="containsText" text="puede">
      <formula>NOT(ISERROR(SEARCH("puede",R38)))</formula>
    </cfRule>
  </conditionalFormatting>
  <conditionalFormatting sqref="R31:R32">
    <cfRule type="containsText" dxfId="7" priority="5" operator="containsText" text="caso">
      <formula>NOT(ISERROR(SEARCH("caso",R31)))</formula>
    </cfRule>
    <cfRule type="containsText" dxfId="6" priority="6" operator="containsText" text="cumple">
      <formula>NOT(ISERROR(SEARCH("cumple",R31)))</formula>
    </cfRule>
    <cfRule type="containsText" dxfId="5" priority="7" operator="containsText" text="debe">
      <formula>NOT(ISERROR(SEARCH("debe",R31)))</formula>
    </cfRule>
    <cfRule type="containsText" dxfId="4" priority="8" operator="containsText" text="error">
      <formula>NOT(ISERROR(SEARCH("error",R31)))</formula>
    </cfRule>
  </conditionalFormatting>
  <conditionalFormatting sqref="C43">
    <cfRule type="cellIs" dxfId="3" priority="4" operator="equal">
      <formula>"Aplica"</formula>
    </cfRule>
  </conditionalFormatting>
  <conditionalFormatting sqref="C43:C45">
    <cfRule type="cellIs" dxfId="2" priority="2" operator="equal">
      <formula>"No aplica"</formula>
    </cfRule>
    <cfRule type="cellIs" dxfId="1" priority="3" operator="equal">
      <formula>"Aplica"</formula>
    </cfRule>
    <cfRule type="containsText" dxfId="0" priority="1" operator="containsText" text="debe">
      <formula>NOT(ISERROR(SEARCH("debe",C43)))</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4</xdr:col>
                    <xdr:colOff>28575</xdr:colOff>
                    <xdr:row>13</xdr:row>
                    <xdr:rowOff>885825</xdr:rowOff>
                  </from>
                  <to>
                    <xdr:col>4</xdr:col>
                    <xdr:colOff>247650</xdr:colOff>
                    <xdr:row>15</xdr:row>
                    <xdr:rowOff>28575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5</xdr:col>
                    <xdr:colOff>28575</xdr:colOff>
                    <xdr:row>13</xdr:row>
                    <xdr:rowOff>885825</xdr:rowOff>
                  </from>
                  <to>
                    <xdr:col>5</xdr:col>
                    <xdr:colOff>247650</xdr:colOff>
                    <xdr:row>15</xdr:row>
                    <xdr:rowOff>28575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4</xdr:col>
                    <xdr:colOff>28575</xdr:colOff>
                    <xdr:row>14</xdr:row>
                    <xdr:rowOff>180975</xdr:rowOff>
                  </from>
                  <to>
                    <xdr:col>4</xdr:col>
                    <xdr:colOff>247650</xdr:colOff>
                    <xdr:row>16</xdr:row>
                    <xdr:rowOff>9525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5</xdr:col>
                    <xdr:colOff>28575</xdr:colOff>
                    <xdr:row>14</xdr:row>
                    <xdr:rowOff>180975</xdr:rowOff>
                  </from>
                  <to>
                    <xdr:col>5</xdr:col>
                    <xdr:colOff>247650</xdr:colOff>
                    <xdr:row>16</xdr:row>
                    <xdr:rowOff>9525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4</xdr:col>
                    <xdr:colOff>28575</xdr:colOff>
                    <xdr:row>15</xdr:row>
                    <xdr:rowOff>180975</xdr:rowOff>
                  </from>
                  <to>
                    <xdr:col>4</xdr:col>
                    <xdr:colOff>247650</xdr:colOff>
                    <xdr:row>17</xdr:row>
                    <xdr:rowOff>9525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5</xdr:col>
                    <xdr:colOff>28575</xdr:colOff>
                    <xdr:row>15</xdr:row>
                    <xdr:rowOff>180975</xdr:rowOff>
                  </from>
                  <to>
                    <xdr:col>5</xdr:col>
                    <xdr:colOff>247650</xdr:colOff>
                    <xdr:row>17</xdr:row>
                    <xdr:rowOff>9525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4</xdr:col>
                    <xdr:colOff>28575</xdr:colOff>
                    <xdr:row>16</xdr:row>
                    <xdr:rowOff>161925</xdr:rowOff>
                  </from>
                  <to>
                    <xdr:col>4</xdr:col>
                    <xdr:colOff>247650</xdr:colOff>
                    <xdr:row>17</xdr:row>
                    <xdr:rowOff>190500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5</xdr:col>
                    <xdr:colOff>28575</xdr:colOff>
                    <xdr:row>16</xdr:row>
                    <xdr:rowOff>161925</xdr:rowOff>
                  </from>
                  <to>
                    <xdr:col>5</xdr:col>
                    <xdr:colOff>247650</xdr:colOff>
                    <xdr:row>17</xdr:row>
                    <xdr:rowOff>190500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4</xdr:col>
                    <xdr:colOff>28575</xdr:colOff>
                    <xdr:row>18</xdr:row>
                    <xdr:rowOff>104775</xdr:rowOff>
                  </from>
                  <to>
                    <xdr:col>4</xdr:col>
                    <xdr:colOff>247650</xdr:colOff>
                    <xdr:row>18</xdr:row>
                    <xdr:rowOff>314325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5</xdr:col>
                    <xdr:colOff>28575</xdr:colOff>
                    <xdr:row>18</xdr:row>
                    <xdr:rowOff>104775</xdr:rowOff>
                  </from>
                  <to>
                    <xdr:col>5</xdr:col>
                    <xdr:colOff>247650</xdr:colOff>
                    <xdr:row>18</xdr:row>
                    <xdr:rowOff>314325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4</xdr:col>
                    <xdr:colOff>28575</xdr:colOff>
                    <xdr:row>19</xdr:row>
                    <xdr:rowOff>180975</xdr:rowOff>
                  </from>
                  <to>
                    <xdr:col>4</xdr:col>
                    <xdr:colOff>247650</xdr:colOff>
                    <xdr:row>19</xdr:row>
                    <xdr:rowOff>381000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5</xdr:col>
                    <xdr:colOff>28575</xdr:colOff>
                    <xdr:row>19</xdr:row>
                    <xdr:rowOff>180975</xdr:rowOff>
                  </from>
                  <to>
                    <xdr:col>5</xdr:col>
                    <xdr:colOff>247650</xdr:colOff>
                    <xdr:row>19</xdr:row>
                    <xdr:rowOff>381000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4</xdr:col>
                    <xdr:colOff>19050</xdr:colOff>
                    <xdr:row>20</xdr:row>
                    <xdr:rowOff>85725</xdr:rowOff>
                  </from>
                  <to>
                    <xdr:col>4</xdr:col>
                    <xdr:colOff>238125</xdr:colOff>
                    <xdr:row>21</xdr:row>
                    <xdr:rowOff>85725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5</xdr:col>
                    <xdr:colOff>19050</xdr:colOff>
                    <xdr:row>20</xdr:row>
                    <xdr:rowOff>85725</xdr:rowOff>
                  </from>
                  <to>
                    <xdr:col>5</xdr:col>
                    <xdr:colOff>238125</xdr:colOff>
                    <xdr:row>21</xdr:row>
                    <xdr:rowOff>85725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4</xdr:col>
                    <xdr:colOff>28575</xdr:colOff>
                    <xdr:row>22</xdr:row>
                    <xdr:rowOff>95250</xdr:rowOff>
                  </from>
                  <to>
                    <xdr:col>4</xdr:col>
                    <xdr:colOff>247650</xdr:colOff>
                    <xdr:row>22</xdr:row>
                    <xdr:rowOff>295275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5</xdr:col>
                    <xdr:colOff>28575</xdr:colOff>
                    <xdr:row>22</xdr:row>
                    <xdr:rowOff>95250</xdr:rowOff>
                  </from>
                  <to>
                    <xdr:col>5</xdr:col>
                    <xdr:colOff>247650</xdr:colOff>
                    <xdr:row>22</xdr:row>
                    <xdr:rowOff>295275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4</xdr:col>
                    <xdr:colOff>19050</xdr:colOff>
                    <xdr:row>23</xdr:row>
                    <xdr:rowOff>171450</xdr:rowOff>
                  </from>
                  <to>
                    <xdr:col>4</xdr:col>
                    <xdr:colOff>238125</xdr:colOff>
                    <xdr:row>24</xdr:row>
                    <xdr:rowOff>180975</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5</xdr:col>
                    <xdr:colOff>19050</xdr:colOff>
                    <xdr:row>23</xdr:row>
                    <xdr:rowOff>171450</xdr:rowOff>
                  </from>
                  <to>
                    <xdr:col>5</xdr:col>
                    <xdr:colOff>238125</xdr:colOff>
                    <xdr:row>24</xdr:row>
                    <xdr:rowOff>180975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4</xdr:col>
                    <xdr:colOff>28575</xdr:colOff>
                    <xdr:row>27</xdr:row>
                    <xdr:rowOff>0</xdr:rowOff>
                  </from>
                  <to>
                    <xdr:col>4</xdr:col>
                    <xdr:colOff>247650</xdr:colOff>
                    <xdr:row>28</xdr:row>
                    <xdr:rowOff>9525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5</xdr:col>
                    <xdr:colOff>28575</xdr:colOff>
                    <xdr:row>27</xdr:row>
                    <xdr:rowOff>0</xdr:rowOff>
                  </from>
                  <to>
                    <xdr:col>5</xdr:col>
                    <xdr:colOff>247650</xdr:colOff>
                    <xdr:row>28</xdr:row>
                    <xdr:rowOff>9525</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4</xdr:col>
                    <xdr:colOff>38100</xdr:colOff>
                    <xdr:row>28</xdr:row>
                    <xdr:rowOff>190500</xdr:rowOff>
                  </from>
                  <to>
                    <xdr:col>4</xdr:col>
                    <xdr:colOff>247650</xdr:colOff>
                    <xdr:row>29</xdr:row>
                    <xdr:rowOff>190500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5</xdr:col>
                    <xdr:colOff>38100</xdr:colOff>
                    <xdr:row>28</xdr:row>
                    <xdr:rowOff>190500</xdr:rowOff>
                  </from>
                  <to>
                    <xdr:col>5</xdr:col>
                    <xdr:colOff>247650</xdr:colOff>
                    <xdr:row>29</xdr:row>
                    <xdr:rowOff>190500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4</xdr:col>
                    <xdr:colOff>38100</xdr:colOff>
                    <xdr:row>29</xdr:row>
                    <xdr:rowOff>190500</xdr:rowOff>
                  </from>
                  <to>
                    <xdr:col>4</xdr:col>
                    <xdr:colOff>247650</xdr:colOff>
                    <xdr:row>31</xdr:row>
                    <xdr:rowOff>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5</xdr:col>
                    <xdr:colOff>38100</xdr:colOff>
                    <xdr:row>29</xdr:row>
                    <xdr:rowOff>190500</xdr:rowOff>
                  </from>
                  <to>
                    <xdr:col>5</xdr:col>
                    <xdr:colOff>247650</xdr:colOff>
                    <xdr:row>31</xdr:row>
                    <xdr:rowOff>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4</xdr:col>
                    <xdr:colOff>38100</xdr:colOff>
                    <xdr:row>30</xdr:row>
                    <xdr:rowOff>190500</xdr:rowOff>
                  </from>
                  <to>
                    <xdr:col>4</xdr:col>
                    <xdr:colOff>247650</xdr:colOff>
                    <xdr:row>32</xdr:row>
                    <xdr:rowOff>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5</xdr:col>
                    <xdr:colOff>38100</xdr:colOff>
                    <xdr:row>30</xdr:row>
                    <xdr:rowOff>190500</xdr:rowOff>
                  </from>
                  <to>
                    <xdr:col>5</xdr:col>
                    <xdr:colOff>247650</xdr:colOff>
                    <xdr:row>32</xdr:row>
                    <xdr:rowOff>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4</xdr:col>
                    <xdr:colOff>38100</xdr:colOff>
                    <xdr:row>32</xdr:row>
                    <xdr:rowOff>295275</xdr:rowOff>
                  </from>
                  <to>
                    <xdr:col>4</xdr:col>
                    <xdr:colOff>247650</xdr:colOff>
                    <xdr:row>33</xdr:row>
                    <xdr:rowOff>114300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5</xdr:col>
                    <xdr:colOff>38100</xdr:colOff>
                    <xdr:row>32</xdr:row>
                    <xdr:rowOff>295275</xdr:rowOff>
                  </from>
                  <to>
                    <xdr:col>5</xdr:col>
                    <xdr:colOff>247650</xdr:colOff>
                    <xdr:row>33</xdr:row>
                    <xdr:rowOff>114300</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4</xdr:col>
                    <xdr:colOff>28575</xdr:colOff>
                    <xdr:row>34</xdr:row>
                    <xdr:rowOff>114300</xdr:rowOff>
                  </from>
                  <to>
                    <xdr:col>4</xdr:col>
                    <xdr:colOff>228600</xdr:colOff>
                    <xdr:row>34</xdr:row>
                    <xdr:rowOff>314325</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5</xdr:col>
                    <xdr:colOff>28575</xdr:colOff>
                    <xdr:row>34</xdr:row>
                    <xdr:rowOff>114300</xdr:rowOff>
                  </from>
                  <to>
                    <xdr:col>5</xdr:col>
                    <xdr:colOff>228600</xdr:colOff>
                    <xdr:row>34</xdr:row>
                    <xdr:rowOff>314325</xdr:rowOff>
                  </to>
                </anchor>
              </controlPr>
            </control>
          </mc:Choice>
        </mc:AlternateContent>
        <mc:AlternateContent xmlns:mc="http://schemas.openxmlformats.org/markup-compatibility/2006">
          <mc:Choice Requires="x14">
            <control shapeId="1075" r:id="rId34" name="Check Box 51">
              <controlPr defaultSize="0" autoFill="0" autoLine="0" autoPict="0">
                <anchor moveWithCells="1">
                  <from>
                    <xdr:col>4</xdr:col>
                    <xdr:colOff>28575</xdr:colOff>
                    <xdr:row>35</xdr:row>
                    <xdr:rowOff>47625</xdr:rowOff>
                  </from>
                  <to>
                    <xdr:col>4</xdr:col>
                    <xdr:colOff>228600</xdr:colOff>
                    <xdr:row>35</xdr:row>
                    <xdr:rowOff>152400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5</xdr:col>
                    <xdr:colOff>28575</xdr:colOff>
                    <xdr:row>35</xdr:row>
                    <xdr:rowOff>47625</xdr:rowOff>
                  </from>
                  <to>
                    <xdr:col>5</xdr:col>
                    <xdr:colOff>228600</xdr:colOff>
                    <xdr:row>35</xdr:row>
                    <xdr:rowOff>152400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4</xdr:col>
                    <xdr:colOff>9525</xdr:colOff>
                    <xdr:row>36</xdr:row>
                    <xdr:rowOff>85725</xdr:rowOff>
                  </from>
                  <to>
                    <xdr:col>4</xdr:col>
                    <xdr:colOff>209550</xdr:colOff>
                    <xdr:row>36</xdr:row>
                    <xdr:rowOff>285750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5</xdr:col>
                    <xdr:colOff>9525</xdr:colOff>
                    <xdr:row>36</xdr:row>
                    <xdr:rowOff>85725</xdr:rowOff>
                  </from>
                  <to>
                    <xdr:col>5</xdr:col>
                    <xdr:colOff>209550</xdr:colOff>
                    <xdr:row>36</xdr:row>
                    <xdr:rowOff>285750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4</xdr:col>
                    <xdr:colOff>19050</xdr:colOff>
                    <xdr:row>37</xdr:row>
                    <xdr:rowOff>266700</xdr:rowOff>
                  </from>
                  <to>
                    <xdr:col>4</xdr:col>
                    <xdr:colOff>209550</xdr:colOff>
                    <xdr:row>38</xdr:row>
                    <xdr:rowOff>85725</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5</xdr:col>
                    <xdr:colOff>19050</xdr:colOff>
                    <xdr:row>37</xdr:row>
                    <xdr:rowOff>266700</xdr:rowOff>
                  </from>
                  <to>
                    <xdr:col>5</xdr:col>
                    <xdr:colOff>209550</xdr:colOff>
                    <xdr:row>38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Jorjhan Oscarly Leal Ortiz</dc:creator>
  <cp:lastModifiedBy>Jorjhan Oscarly Leal Ortiz</cp:lastModifiedBy>
  <dcterms:created xsi:type="dcterms:W3CDTF">2019-06-13T22:19:04Z</dcterms:created>
  <dcterms:modified xsi:type="dcterms:W3CDTF">2019-08-21T22:32:32Z</dcterms:modified>
</cp:coreProperties>
</file>